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nynas-my.sharepoint.com/personal/tefi_nynas_com/Documents/ANNUAL SUST REPORT 2024/"/>
    </mc:Choice>
  </mc:AlternateContent>
  <xr:revisionPtr revIDLastSave="0" documentId="8_{A66B61DD-C7A3-413F-B4D6-D88729D415A1}" xr6:coauthVersionLast="47" xr6:coauthVersionMax="47" xr10:uidLastSave="{00000000-0000-0000-0000-000000000000}"/>
  <bookViews>
    <workbookView xWindow="-120" yWindow="-120" windowWidth="29040" windowHeight="17520" tabRatio="674" activeTab="1" xr2:uid="{7363A65E-18D6-4810-9827-78B3160BE683}"/>
  </bookViews>
  <sheets>
    <sheet name="Nynas Group_Q2" sheetId="1" r:id="rId1"/>
    <sheet name="Nynas Group_Quarterly overview" sheetId="4" r:id="rId2"/>
    <sheet name="Cash flow_Net Debt spec" sheetId="9" r:id="rId3"/>
  </sheets>
  <definedNames>
    <definedName name="___A11" localSheetId="1" hidden="1">{#N/A,#N/A,FALSE,"Umsatz 99";#N/A,#N/A,FALSE,"ER 99 "}</definedName>
    <definedName name="___A11" hidden="1">{#N/A,#N/A,FALSE,"Umsatz 99";#N/A,#N/A,FALSE,"ER 99 "}</definedName>
    <definedName name="___c" localSheetId="1" hidden="1">{"Fiesta Facer Page",#N/A,FALSE,"Q_C_S";"Fiesta Main Page",#N/A,FALSE,"V_L";"Fiesta 95BP Struct",#N/A,FALSE,"StructBP";"Fiesta Post 95BP Struct",#N/A,FALSE,"AdjStructBP"}</definedName>
    <definedName name="___c" hidden="1">{"Fiesta Facer Page",#N/A,FALSE,"Q_C_S";"Fiesta Main Page",#N/A,FALSE,"V_L";"Fiesta 95BP Struct",#N/A,FALSE,"StructBP";"Fiesta Post 95BP Struct",#N/A,FALSE,"AdjStructBP"}</definedName>
    <definedName name="__3wrn.²Ä1­Ó¤ë1_Ü20¤H." localSheetId="1" hidden="1">{#N/A,#N/A,FALSE,"²Ä1­Ó¤ë"}</definedName>
    <definedName name="__3wrn.²Ä1­Ó¤ë1_Ü20¤H." hidden="1">{#N/A,#N/A,FALSE,"²Ä1­Ó¤ë"}</definedName>
    <definedName name="__A11" localSheetId="1" hidden="1">{#N/A,#N/A,FALSE,"Umsatz 99";#N/A,#N/A,FALSE,"ER 99 "}</definedName>
    <definedName name="__A11" hidden="1">{#N/A,#N/A,FALSE,"Umsatz 99";#N/A,#N/A,FALSE,"ER 99 "}</definedName>
    <definedName name="__c" localSheetId="1" hidden="1">{"Fiesta Facer Page",#N/A,FALSE,"Q_C_S";"Fiesta Main Page",#N/A,FALSE,"V_L";"Fiesta 95BP Struct",#N/A,FALSE,"StructBP";"Fiesta Post 95BP Struct",#N/A,FALSE,"AdjStructBP"}</definedName>
    <definedName name="__c" hidden="1">{"Fiesta Facer Page",#N/A,FALSE,"Q_C_S";"Fiesta Main Page",#N/A,FALSE,"V_L";"Fiesta 95BP Struct",#N/A,FALSE,"StructBP";"Fiesta Post 95BP Struct",#N/A,FALSE,"AdjStructBP"}</definedName>
    <definedName name="__FDS_HYPERLINK_TOGGLE_STATE__" hidden="1">"ON"</definedName>
    <definedName name="_11wrn.²Ä1­Ó¤ë1_Ü20¤H." localSheetId="1" hidden="1">{#N/A,#N/A,FALSE,"²Ä1­Ó¤ë"}</definedName>
    <definedName name="_11wrn.²Ä1­Ó¤ë1_Ü20¤H." hidden="1">{#N/A,#N/A,FALSE,"²Ä1­Ó¤ë"}</definedName>
    <definedName name="_3wrn.²Ä1­Ó¤ë1_Ü20¤H." localSheetId="1" hidden="1">{#N/A,#N/A,FALSE,"²Ä1­Ó¤ë"}</definedName>
    <definedName name="_3wrn.²Ä1­Ó¤ë1_Ü20¤H." hidden="1">{#N/A,#N/A,FALSE,"²Ä1­Ó¤ë"}</definedName>
    <definedName name="_A11" localSheetId="1" hidden="1">{#N/A,#N/A,FALSE,"Umsatz 99";#N/A,#N/A,FALSE,"ER 99 "}</definedName>
    <definedName name="_A11" hidden="1">{#N/A,#N/A,FALSE,"Umsatz 99";#N/A,#N/A,FALSE,"ER 99 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" localSheetId="1" hidden="1">{"Fiesta Facer Page",#N/A,FALSE,"Q_C_S";"Fiesta Main Page",#N/A,FALSE,"V_L";"Fiesta 95BP Struct",#N/A,FALSE,"StructBP";"Fiesta Post 95BP Struct",#N/A,FALSE,"AdjStructBP"}</definedName>
    <definedName name="_c" hidden="1">{"Fiesta Facer Page",#N/A,FALSE,"Q_C_S";"Fiesta Main Page",#N/A,FALSE,"V_L";"Fiesta 95BP Struct",#N/A,FALSE,"StructBP";"Fiesta Post 95BP Struct",#N/A,FALSE,"AdjStructBP"}</definedName>
    <definedName name="_Sort" localSheetId="1" hidden="1">#REF!</definedName>
    <definedName name="_Sort" hidden="1">#REF!</definedName>
    <definedName name="BLPR10020040303143550017" localSheetId="1" hidden="1">#REF!</definedName>
    <definedName name="BLPR10020040303143550017" hidden="1">#REF!</definedName>
    <definedName name="BLPR10020040303143550017_1_1" localSheetId="1" hidden="1">#REF!</definedName>
    <definedName name="BLPR10020040303143550017_1_1" hidden="1">#REF!</definedName>
    <definedName name="BLPR10120040303143550017" localSheetId="1" hidden="1">#REF!</definedName>
    <definedName name="BLPR10120040303143550017" hidden="1">#REF!</definedName>
    <definedName name="BLPR10120040303143550017_1_1" localSheetId="1" hidden="1">#REF!</definedName>
    <definedName name="BLPR10120040303143550017_1_1" hidden="1">#REF!</definedName>
    <definedName name="BLPR1020040303143540803" localSheetId="1" hidden="1">#REF!</definedName>
    <definedName name="BLPR1020040303143540803" hidden="1">#REF!</definedName>
    <definedName name="BLPR1020040303143540803_1_3" localSheetId="1" hidden="1">#REF!</definedName>
    <definedName name="BLPR1020040303143540803_1_3" hidden="1">#REF!</definedName>
    <definedName name="BLPR1020040303143540803_2_3" localSheetId="1" hidden="1">#REF!</definedName>
    <definedName name="BLPR1020040303143540803_2_3" hidden="1">#REF!</definedName>
    <definedName name="BLPR1020040303143540803_3_3" localSheetId="1" hidden="1">#REF!</definedName>
    <definedName name="BLPR1020040303143540803_3_3" hidden="1">#REF!</definedName>
    <definedName name="BLPR10220040303143550017" localSheetId="1" hidden="1">#REF!</definedName>
    <definedName name="BLPR10220040303143550017" hidden="1">#REF!</definedName>
    <definedName name="BLPR10220040303143550017_1_1" localSheetId="1" hidden="1">#REF!</definedName>
    <definedName name="BLPR10220040303143550017_1_1" hidden="1">#REF!</definedName>
    <definedName name="BLPR10320040303143550017" localSheetId="1" hidden="1">#REF!</definedName>
    <definedName name="BLPR10320040303143550017" hidden="1">#REF!</definedName>
    <definedName name="BLPR10320040303143550017_1_1" localSheetId="1" hidden="1">#REF!</definedName>
    <definedName name="BLPR10320040303143550017_1_1" hidden="1">#REF!</definedName>
    <definedName name="BLPR10420040303143550027" localSheetId="1" hidden="1">#REF!</definedName>
    <definedName name="BLPR10420040303143550027" hidden="1">#REF!</definedName>
    <definedName name="BLPR10420040303143550027_1_1" localSheetId="1" hidden="1">#REF!</definedName>
    <definedName name="BLPR10420040303143550027_1_1" hidden="1">#REF!</definedName>
    <definedName name="BLPR10520040303143550027" localSheetId="1" hidden="1">#REF!</definedName>
    <definedName name="BLPR10520040303143550027" hidden="1">#REF!</definedName>
    <definedName name="BLPR10520040303143550027_1_1" localSheetId="1" hidden="1">#REF!</definedName>
    <definedName name="BLPR10520040303143550027_1_1" hidden="1">#REF!</definedName>
    <definedName name="BLPR10620040303143550027" localSheetId="1" hidden="1">#REF!</definedName>
    <definedName name="BLPR10620040303143550027" hidden="1">#REF!</definedName>
    <definedName name="BLPR10620040303143550027_1_1" localSheetId="1" hidden="1">#REF!</definedName>
    <definedName name="BLPR10620040303143550027_1_1" hidden="1">#REF!</definedName>
    <definedName name="BLPR10720040303143550027" localSheetId="1" hidden="1">#REF!</definedName>
    <definedName name="BLPR10720040303143550027" hidden="1">#REF!</definedName>
    <definedName name="BLPR10720040303143550027_1_1" localSheetId="1" hidden="1">#REF!</definedName>
    <definedName name="BLPR10720040303143550027_1_1" hidden="1">#REF!</definedName>
    <definedName name="BLPR10820040303143550027" localSheetId="1" hidden="1">#REF!</definedName>
    <definedName name="BLPR10820040303143550027" hidden="1">#REF!</definedName>
    <definedName name="BLPR10820040303143550027_1_1" localSheetId="1" hidden="1">#REF!</definedName>
    <definedName name="BLPR10820040303143550027_1_1" hidden="1">#REF!</definedName>
    <definedName name="BLPR10920040303143550027" localSheetId="1" hidden="1">#REF!</definedName>
    <definedName name="BLPR10920040303143550027" hidden="1">#REF!</definedName>
    <definedName name="BLPR10920040303143550027_1_1" localSheetId="1" hidden="1">#REF!</definedName>
    <definedName name="BLPR10920040303143550027_1_1" hidden="1">#REF!</definedName>
    <definedName name="BLPR11020040303143550027" localSheetId="1" hidden="1">#REF!</definedName>
    <definedName name="BLPR11020040303143550027" hidden="1">#REF!</definedName>
    <definedName name="BLPR11020040303143550027_1_1" localSheetId="1" hidden="1">#REF!</definedName>
    <definedName name="BLPR11020040303143550027_1_1" hidden="1">#REF!</definedName>
    <definedName name="BLPR11120040303143550037" localSheetId="1" hidden="1">#REF!</definedName>
    <definedName name="BLPR11120040303143550037" hidden="1">#REF!</definedName>
    <definedName name="BLPR11120040303143550037_1_1" localSheetId="1" hidden="1">#REF!</definedName>
    <definedName name="BLPR11120040303143550037_1_1" hidden="1">#REF!</definedName>
    <definedName name="BLPR1120040303143540803" localSheetId="1" hidden="1">#REF!</definedName>
    <definedName name="BLPR1120040303143540803" hidden="1">#REF!</definedName>
    <definedName name="BLPR1120040303143540803_1_3" localSheetId="1" hidden="1">#REF!</definedName>
    <definedName name="BLPR1120040303143540803_1_3" hidden="1">#REF!</definedName>
    <definedName name="BLPR1120040303143540803_2_3" localSheetId="1" hidden="1">#REF!</definedName>
    <definedName name="BLPR1120040303143540803_2_3" hidden="1">#REF!</definedName>
    <definedName name="BLPR1120040303143540803_3_3" localSheetId="1" hidden="1">#REF!</definedName>
    <definedName name="BLPR1120040303143540803_3_3" hidden="1">#REF!</definedName>
    <definedName name="BLPR11220040303143550037" localSheetId="1" hidden="1">#REF!</definedName>
    <definedName name="BLPR11220040303143550037" hidden="1">#REF!</definedName>
    <definedName name="BLPR11220040303143550037_1_1" localSheetId="1" hidden="1">#REF!</definedName>
    <definedName name="BLPR11220040303143550037_1_1" hidden="1">#REF!</definedName>
    <definedName name="BLPR11320040303143550037" localSheetId="1" hidden="1">#REF!</definedName>
    <definedName name="BLPR11320040303143550037" hidden="1">#REF!</definedName>
    <definedName name="BLPR11320040303143550037_1_1" localSheetId="1" hidden="1">#REF!</definedName>
    <definedName name="BLPR11320040303143550037_1_1" hidden="1">#REF!</definedName>
    <definedName name="BLPR11420040303143550037" localSheetId="1" hidden="1">#REF!</definedName>
    <definedName name="BLPR11420040303143550037" hidden="1">#REF!</definedName>
    <definedName name="BLPR11420040303143550037_1_1" localSheetId="1" hidden="1">#REF!</definedName>
    <definedName name="BLPR11420040303143550037_1_1" hidden="1">#REF!</definedName>
    <definedName name="BLPR11520040303143550037" localSheetId="1" hidden="1">#REF!</definedName>
    <definedName name="BLPR11520040303143550037" hidden="1">#REF!</definedName>
    <definedName name="BLPR11520040303143550037_1_1" localSheetId="1" hidden="1">#REF!</definedName>
    <definedName name="BLPR11520040303143550037_1_1" hidden="1">#REF!</definedName>
    <definedName name="BLPR11620040303143550037" localSheetId="1" hidden="1">#REF!</definedName>
    <definedName name="BLPR11620040303143550037" hidden="1">#REF!</definedName>
    <definedName name="BLPR11620040303143550037_1_1" localSheetId="1" hidden="1">#REF!</definedName>
    <definedName name="BLPR11620040303143550037_1_1" hidden="1">#REF!</definedName>
    <definedName name="BLPR11720040303143550047" localSheetId="1" hidden="1">#REF!</definedName>
    <definedName name="BLPR11720040303143550047" hidden="1">#REF!</definedName>
    <definedName name="BLPR11720040303143550047_1_1" localSheetId="1" hidden="1">#REF!</definedName>
    <definedName name="BLPR11720040303143550047_1_1" hidden="1">#REF!</definedName>
    <definedName name="BLPR11820040303143550047" localSheetId="1" hidden="1">#REF!</definedName>
    <definedName name="BLPR11820040303143550047" hidden="1">#REF!</definedName>
    <definedName name="BLPR11820040303143550047_1_1" localSheetId="1" hidden="1">#REF!</definedName>
    <definedName name="BLPR11820040303143550047_1_1" hidden="1">#REF!</definedName>
    <definedName name="BLPR11920040303143550047" localSheetId="1" hidden="1">#REF!</definedName>
    <definedName name="BLPR11920040303143550047" hidden="1">#REF!</definedName>
    <definedName name="BLPR11920040303143550047_1_1" localSheetId="1" hidden="1">#REF!</definedName>
    <definedName name="BLPR11920040303143550047_1_1" hidden="1">#REF!</definedName>
    <definedName name="BLPR120040303143540763" localSheetId="1" hidden="1">#REF!</definedName>
    <definedName name="BLPR120040303143540763" hidden="1">#REF!</definedName>
    <definedName name="BLPR120040303143540763_1_3" localSheetId="1" hidden="1">#REF!</definedName>
    <definedName name="BLPR120040303143540763_1_3" hidden="1">#REF!</definedName>
    <definedName name="BLPR120040303143540763_2_3" localSheetId="1" hidden="1">#REF!</definedName>
    <definedName name="BLPR120040303143540763_2_3" hidden="1">#REF!</definedName>
    <definedName name="BLPR120040303143540763_3_3" localSheetId="1" hidden="1">#REF!</definedName>
    <definedName name="BLPR120040303143540763_3_3" hidden="1">#REF!</definedName>
    <definedName name="BLPR12020040303143550047" localSheetId="1" hidden="1">#REF!</definedName>
    <definedName name="BLPR12020040303143550047" hidden="1">#REF!</definedName>
    <definedName name="BLPR12020040303143550047_1_1" localSheetId="1" hidden="1">#REF!</definedName>
    <definedName name="BLPR12020040303143550047_1_1" hidden="1">#REF!</definedName>
    <definedName name="BLPR12120040303143550047" localSheetId="1" hidden="1">#REF!</definedName>
    <definedName name="BLPR12120040303143550047" hidden="1">#REF!</definedName>
    <definedName name="BLPR12120040303143550047_1_1" localSheetId="1" hidden="1">#REF!</definedName>
    <definedName name="BLPR12120040303143550047_1_1" hidden="1">#REF!</definedName>
    <definedName name="BLPR1220040303143540803" localSheetId="1" hidden="1">#REF!</definedName>
    <definedName name="BLPR1220040303143540803" hidden="1">#REF!</definedName>
    <definedName name="BLPR1220040303143540803_1_3" localSheetId="1" hidden="1">#REF!</definedName>
    <definedName name="BLPR1220040303143540803_1_3" hidden="1">#REF!</definedName>
    <definedName name="BLPR1220040303143540803_2_3" localSheetId="1" hidden="1">#REF!</definedName>
    <definedName name="BLPR1220040303143540803_2_3" hidden="1">#REF!</definedName>
    <definedName name="BLPR1220040303143540803_3_3" localSheetId="1" hidden="1">#REF!</definedName>
    <definedName name="BLPR1220040303143540803_3_3" hidden="1">#REF!</definedName>
    <definedName name="BLPR12220040303143550047" localSheetId="1" hidden="1">#REF!</definedName>
    <definedName name="BLPR12220040303143550047" hidden="1">#REF!</definedName>
    <definedName name="BLPR12220040303143550047_1_1" localSheetId="1" hidden="1">#REF!</definedName>
    <definedName name="BLPR12220040303143550047_1_1" hidden="1">#REF!</definedName>
    <definedName name="BLPR12320040303143550047" localSheetId="1" hidden="1">#REF!</definedName>
    <definedName name="BLPR12320040303143550047" hidden="1">#REF!</definedName>
    <definedName name="BLPR12320040303143550047_1_1" localSheetId="1" hidden="1">#REF!</definedName>
    <definedName name="BLPR12320040303143550047_1_1" hidden="1">#REF!</definedName>
    <definedName name="BLPR12420040303143550057" localSheetId="1" hidden="1">#REF!</definedName>
    <definedName name="BLPR12420040303143550057" hidden="1">#REF!</definedName>
    <definedName name="BLPR12420040303143550057_1_1" localSheetId="1" hidden="1">#REF!</definedName>
    <definedName name="BLPR12420040303143550057_1_1" hidden="1">#REF!</definedName>
    <definedName name="BLPR12520040303143550057" localSheetId="1" hidden="1">#REF!</definedName>
    <definedName name="BLPR12520040303143550057" hidden="1">#REF!</definedName>
    <definedName name="BLPR12520040303143550057_1_1" localSheetId="1" hidden="1">#REF!</definedName>
    <definedName name="BLPR12520040303143550057_1_1" hidden="1">#REF!</definedName>
    <definedName name="BLPR12620040303143550057" localSheetId="1" hidden="1">#REF!</definedName>
    <definedName name="BLPR12620040303143550057" hidden="1">#REF!</definedName>
    <definedName name="BLPR12620040303143550057_1_1" localSheetId="1" hidden="1">#REF!</definedName>
    <definedName name="BLPR12620040303143550057_1_1" hidden="1">#REF!</definedName>
    <definedName name="BLPR12720040303143550057" localSheetId="1" hidden="1">#REF!</definedName>
    <definedName name="BLPR12720040303143550057" hidden="1">#REF!</definedName>
    <definedName name="BLPR12720040303143550057_1_1" localSheetId="1" hidden="1">#REF!</definedName>
    <definedName name="BLPR12720040303143550057_1_1" hidden="1">#REF!</definedName>
    <definedName name="BLPR12820040303143550057" localSheetId="1" hidden="1">#REF!</definedName>
    <definedName name="BLPR12820040303143550057" hidden="1">#REF!</definedName>
    <definedName name="BLPR12820040303143550057_1_1" localSheetId="1" hidden="1">#REF!</definedName>
    <definedName name="BLPR12820040303143550057_1_1" hidden="1">#REF!</definedName>
    <definedName name="BLPR12920040303143550057" localSheetId="1" hidden="1">#REF!</definedName>
    <definedName name="BLPR12920040303143550057" hidden="1">#REF!</definedName>
    <definedName name="BLPR12920040303143550057_1_1" localSheetId="1" hidden="1">#REF!</definedName>
    <definedName name="BLPR12920040303143550057_1_1" hidden="1">#REF!</definedName>
    <definedName name="BLPR13020040303143550067" localSheetId="1" hidden="1">#REF!</definedName>
    <definedName name="BLPR13020040303143550067" hidden="1">#REF!</definedName>
    <definedName name="BLPR13020040303143550067_1_1" localSheetId="1" hidden="1">#REF!</definedName>
    <definedName name="BLPR13020040303143550067_1_1" hidden="1">#REF!</definedName>
    <definedName name="BLPR13120040303143550067" localSheetId="1" hidden="1">#REF!</definedName>
    <definedName name="BLPR13120040303143550067" hidden="1">#REF!</definedName>
    <definedName name="BLPR13120040303143550067_1_1" localSheetId="1" hidden="1">#REF!</definedName>
    <definedName name="BLPR13120040303143550067_1_1" hidden="1">#REF!</definedName>
    <definedName name="BLPR1320040303143540813" localSheetId="1" hidden="1">#REF!</definedName>
    <definedName name="BLPR1320040303143540813" hidden="1">#REF!</definedName>
    <definedName name="BLPR1320040303143540813_1_3" localSheetId="1" hidden="1">#REF!</definedName>
    <definedName name="BLPR1320040303143540813_1_3" hidden="1">#REF!</definedName>
    <definedName name="BLPR1320040303143540813_2_3" localSheetId="1" hidden="1">#REF!</definedName>
    <definedName name="BLPR1320040303143540813_2_3" hidden="1">#REF!</definedName>
    <definedName name="BLPR1320040303143540813_3_3" localSheetId="1" hidden="1">#REF!</definedName>
    <definedName name="BLPR1320040303143540813_3_3" hidden="1">#REF!</definedName>
    <definedName name="BLPR13220040303143550067" localSheetId="1" hidden="1">#REF!</definedName>
    <definedName name="BLPR13220040303143550067" hidden="1">#REF!</definedName>
    <definedName name="BLPR13220040303143550067_1_1" localSheetId="1" hidden="1">#REF!</definedName>
    <definedName name="BLPR13220040303143550067_1_1" hidden="1">#REF!</definedName>
    <definedName name="BLPR13320040303143550067" localSheetId="1" hidden="1">#REF!</definedName>
    <definedName name="BLPR13320040303143550067" hidden="1">#REF!</definedName>
    <definedName name="BLPR13320040303143550067_1_1" localSheetId="1" hidden="1">#REF!</definedName>
    <definedName name="BLPR13320040303143550067_1_1" hidden="1">#REF!</definedName>
    <definedName name="BLPR13420040303143550067" localSheetId="1" hidden="1">#REF!</definedName>
    <definedName name="BLPR13420040303143550067" hidden="1">#REF!</definedName>
    <definedName name="BLPR13420040303143550067_1_1" localSheetId="1" hidden="1">#REF!</definedName>
    <definedName name="BLPR13420040303143550067_1_1" hidden="1">#REF!</definedName>
    <definedName name="BLPR13520040303143550067" localSheetId="1" hidden="1">#REF!</definedName>
    <definedName name="BLPR13520040303143550067" hidden="1">#REF!</definedName>
    <definedName name="BLPR13520040303143550067_1_1" localSheetId="1" hidden="1">#REF!</definedName>
    <definedName name="BLPR13520040303143550067_1_1" hidden="1">#REF!</definedName>
    <definedName name="BLPR13620040303143550077" localSheetId="1" hidden="1">#REF!</definedName>
    <definedName name="BLPR13620040303143550077" hidden="1">#REF!</definedName>
    <definedName name="BLPR13620040303143550077_1_1" localSheetId="1" hidden="1">#REF!</definedName>
    <definedName name="BLPR13620040303143550077_1_1" hidden="1">#REF!</definedName>
    <definedName name="BLPR13720040303143550077" localSheetId="1" hidden="1">#REF!</definedName>
    <definedName name="BLPR13720040303143550077" hidden="1">#REF!</definedName>
    <definedName name="BLPR13720040303143550077_1_1" localSheetId="1" hidden="1">#REF!</definedName>
    <definedName name="BLPR13720040303143550077_1_1" hidden="1">#REF!</definedName>
    <definedName name="BLPR13820040303143550077" localSheetId="1" hidden="1">#REF!</definedName>
    <definedName name="BLPR13820040303143550077" hidden="1">#REF!</definedName>
    <definedName name="BLPR13820040303143550077_1_1" localSheetId="1" hidden="1">#REF!</definedName>
    <definedName name="BLPR13820040303143550077_1_1" hidden="1">#REF!</definedName>
    <definedName name="BLPR13920040303143550077" localSheetId="1" hidden="1">#REF!</definedName>
    <definedName name="BLPR13920040303143550077" hidden="1">#REF!</definedName>
    <definedName name="BLPR13920040303143550077_1_1" localSheetId="1" hidden="1">#REF!</definedName>
    <definedName name="BLPR13920040303143550077_1_1" hidden="1">#REF!</definedName>
    <definedName name="BLPR14020040303143550077" localSheetId="1" hidden="1">#REF!</definedName>
    <definedName name="BLPR14020040303143550077" hidden="1">#REF!</definedName>
    <definedName name="BLPR14020040303143550077_1_1" localSheetId="1" hidden="1">#REF!</definedName>
    <definedName name="BLPR14020040303143550077_1_1" hidden="1">#REF!</definedName>
    <definedName name="BLPR14120040303143550077" localSheetId="1" hidden="1">#REF!</definedName>
    <definedName name="BLPR14120040303143550077" hidden="1">#REF!</definedName>
    <definedName name="BLPR14120040303143550077_1_1" localSheetId="1" hidden="1">#REF!</definedName>
    <definedName name="BLPR14120040303143550077_1_1" hidden="1">#REF!</definedName>
    <definedName name="BLPR1420040303143540813" localSheetId="1" hidden="1">#REF!</definedName>
    <definedName name="BLPR1420040303143540813" hidden="1">#REF!</definedName>
    <definedName name="BLPR1420040303143540813_1_3" localSheetId="1" hidden="1">#REF!</definedName>
    <definedName name="BLPR1420040303143540813_1_3" hidden="1">#REF!</definedName>
    <definedName name="BLPR1420040303143540813_2_3" localSheetId="1" hidden="1">#REF!</definedName>
    <definedName name="BLPR1420040303143540813_2_3" hidden="1">#REF!</definedName>
    <definedName name="BLPR1420040303143540813_3_3" localSheetId="1" hidden="1">#REF!</definedName>
    <definedName name="BLPR1420040303143540813_3_3" hidden="1">#REF!</definedName>
    <definedName name="BLPR14220040303143550077" localSheetId="1" hidden="1">#REF!</definedName>
    <definedName name="BLPR14220040303143550077" hidden="1">#REF!</definedName>
    <definedName name="BLPR14220040303143550077_1_1" localSheetId="1" hidden="1">#REF!</definedName>
    <definedName name="BLPR14220040303143550077_1_1" hidden="1">#REF!</definedName>
    <definedName name="BLPR14320040303143550077" localSheetId="1" hidden="1">#REF!</definedName>
    <definedName name="BLPR14320040303143550077" hidden="1">#REF!</definedName>
    <definedName name="BLPR14320040303143550077_1_1" localSheetId="1" hidden="1">#REF!</definedName>
    <definedName name="BLPR14320040303143550077_1_1" hidden="1">#REF!</definedName>
    <definedName name="BLPR14420040303143550077" localSheetId="1" hidden="1">#REF!</definedName>
    <definedName name="BLPR14420040303143550077" hidden="1">#REF!</definedName>
    <definedName name="BLPR14420040303143550077_1_1" localSheetId="1" hidden="1">#REF!</definedName>
    <definedName name="BLPR14420040303143550077_1_1" hidden="1">#REF!</definedName>
    <definedName name="BLPR14520040303143550077" localSheetId="1" hidden="1">#REF!</definedName>
    <definedName name="BLPR14520040303143550077" hidden="1">#REF!</definedName>
    <definedName name="BLPR14520040303143550077_1_1" localSheetId="1" hidden="1">#REF!</definedName>
    <definedName name="BLPR14520040303143550077_1_1" hidden="1">#REF!</definedName>
    <definedName name="BLPR14620040303143550077" localSheetId="1" hidden="1">#REF!</definedName>
    <definedName name="BLPR14620040303143550077" hidden="1">#REF!</definedName>
    <definedName name="BLPR14620040303143550077_1_1" localSheetId="1" hidden="1">#REF!</definedName>
    <definedName name="BLPR14620040303143550077_1_1" hidden="1">#REF!</definedName>
    <definedName name="BLPR14720040303143550077" localSheetId="1" hidden="1">#REF!</definedName>
    <definedName name="BLPR14720040303143550077" hidden="1">#REF!</definedName>
    <definedName name="BLPR14720040303143550077_1_1" localSheetId="1" hidden="1">#REF!</definedName>
    <definedName name="BLPR14720040303143550077_1_1" hidden="1">#REF!</definedName>
    <definedName name="BLPR14820040303143550077" localSheetId="1" hidden="1">#REF!</definedName>
    <definedName name="BLPR14820040303143550077" hidden="1">#REF!</definedName>
    <definedName name="BLPR14820040303143550077_1_1" localSheetId="1" hidden="1">#REF!</definedName>
    <definedName name="BLPR14820040303143550077_1_1" hidden="1">#REF!</definedName>
    <definedName name="BLPR14920040303143550077" localSheetId="1" hidden="1">#REF!</definedName>
    <definedName name="BLPR14920040303143550077" hidden="1">#REF!</definedName>
    <definedName name="BLPR14920040303143550077_1_1" localSheetId="1" hidden="1">#REF!</definedName>
    <definedName name="BLPR14920040303143550077_1_1" hidden="1">#REF!</definedName>
    <definedName name="BLPR15020040303143550087" localSheetId="1" hidden="1">#REF!</definedName>
    <definedName name="BLPR15020040303143550087" hidden="1">#REF!</definedName>
    <definedName name="BLPR15020040303143550087_1_1" localSheetId="1" hidden="1">#REF!</definedName>
    <definedName name="BLPR15020040303143550087_1_1" hidden="1">#REF!</definedName>
    <definedName name="BLPR15120040303143550087" localSheetId="1" hidden="1">#REF!</definedName>
    <definedName name="BLPR15120040303143550087" hidden="1">#REF!</definedName>
    <definedName name="BLPR15120040303143550087_1_1" localSheetId="1" hidden="1">#REF!</definedName>
    <definedName name="BLPR15120040303143550087_1_1" hidden="1">#REF!</definedName>
    <definedName name="BLPR1520040303143540813" localSheetId="1" hidden="1">#REF!</definedName>
    <definedName name="BLPR1520040303143540813" hidden="1">#REF!</definedName>
    <definedName name="BLPR1520040303143540813_1_3" localSheetId="1" hidden="1">#REF!</definedName>
    <definedName name="BLPR1520040303143540813_1_3" hidden="1">#REF!</definedName>
    <definedName name="BLPR1520040303143540813_2_3" localSheetId="1" hidden="1">#REF!</definedName>
    <definedName name="BLPR1520040303143540813_2_3" hidden="1">#REF!</definedName>
    <definedName name="BLPR1520040303143540813_3_3" localSheetId="1" hidden="1">#REF!</definedName>
    <definedName name="BLPR1520040303143540813_3_3" hidden="1">#REF!</definedName>
    <definedName name="BLPR15220040303143550087" localSheetId="1" hidden="1">#REF!</definedName>
    <definedName name="BLPR15220040303143550087" hidden="1">#REF!</definedName>
    <definedName name="BLPR15220040303143550087_1_1" localSheetId="1" hidden="1">#REF!</definedName>
    <definedName name="BLPR15220040303143550087_1_1" hidden="1">#REF!</definedName>
    <definedName name="BLPR15320040303143550087" localSheetId="1" hidden="1">#REF!</definedName>
    <definedName name="BLPR15320040303143550087" hidden="1">#REF!</definedName>
    <definedName name="BLPR15320040303143550087_1_1" localSheetId="1" hidden="1">#REF!</definedName>
    <definedName name="BLPR15320040303143550087_1_1" hidden="1">#REF!</definedName>
    <definedName name="BLPR15420040303143550087" localSheetId="1" hidden="1">#REF!</definedName>
    <definedName name="BLPR15420040303143550087" hidden="1">#REF!</definedName>
    <definedName name="BLPR15420040303143550087_1_1" localSheetId="1" hidden="1">#REF!</definedName>
    <definedName name="BLPR15420040303143550087_1_1" hidden="1">#REF!</definedName>
    <definedName name="BLPR15520040303143550207" localSheetId="1" hidden="1">#REF!</definedName>
    <definedName name="BLPR15520040303143550207" hidden="1">#REF!</definedName>
    <definedName name="BLPR15520040303143550207_1_2" localSheetId="1" hidden="1">#REF!</definedName>
    <definedName name="BLPR15520040303143550207_1_2" hidden="1">#REF!</definedName>
    <definedName name="BLPR15520040303143550207_2_2" localSheetId="1" hidden="1">#REF!</definedName>
    <definedName name="BLPR15520040303143550207_2_2" hidden="1">#REF!</definedName>
    <definedName name="BLPR15620040303143550227" localSheetId="1" hidden="1">#REF!</definedName>
    <definedName name="BLPR15620040303143550227" hidden="1">#REF!</definedName>
    <definedName name="BLPR15620040303143550227_1_2" localSheetId="1" hidden="1">#REF!</definedName>
    <definedName name="BLPR15620040303143550227_1_2" hidden="1">#REF!</definedName>
    <definedName name="BLPR15620040303143550227_2_2" localSheetId="1" hidden="1">#REF!</definedName>
    <definedName name="BLPR15620040303143550227_2_2" hidden="1">#REF!</definedName>
    <definedName name="BLPR15720040303143550237" localSheetId="1" hidden="1">#REF!</definedName>
    <definedName name="BLPR15720040303143550237" hidden="1">#REF!</definedName>
    <definedName name="BLPR15720040303143550237_1_2" localSheetId="1" hidden="1">#REF!</definedName>
    <definedName name="BLPR15720040303143550237_1_2" hidden="1">#REF!</definedName>
    <definedName name="BLPR15720040303143550237_2_2" localSheetId="1" hidden="1">#REF!</definedName>
    <definedName name="BLPR15720040303143550237_2_2" hidden="1">#REF!</definedName>
    <definedName name="BLPR15820040303143550257" localSheetId="1" hidden="1">#REF!</definedName>
    <definedName name="BLPR15820040303143550257" hidden="1">#REF!</definedName>
    <definedName name="BLPR15820040303143550257_1_2" localSheetId="1" hidden="1">#REF!</definedName>
    <definedName name="BLPR15820040303143550257_1_2" hidden="1">#REF!</definedName>
    <definedName name="BLPR15820040303143550257_2_2" localSheetId="1" hidden="1">#REF!</definedName>
    <definedName name="BLPR15820040303143550257_2_2" hidden="1">#REF!</definedName>
    <definedName name="BLPR15920040303143550267" localSheetId="1" hidden="1">#REF!</definedName>
    <definedName name="BLPR15920040303143550267" hidden="1">#REF!</definedName>
    <definedName name="BLPR15920040303143550267_1_2" localSheetId="1" hidden="1">#REF!</definedName>
    <definedName name="BLPR15920040303143550267_1_2" hidden="1">#REF!</definedName>
    <definedName name="BLPR15920040303143550267_2_2" localSheetId="1" hidden="1">#REF!</definedName>
    <definedName name="BLPR15920040303143550267_2_2" hidden="1">#REF!</definedName>
    <definedName name="BLPR16020040303143550287" localSheetId="1" hidden="1">#REF!</definedName>
    <definedName name="BLPR16020040303143550287" hidden="1">#REF!</definedName>
    <definedName name="BLPR16020040303143550287_1_2" localSheetId="1" hidden="1">#REF!</definedName>
    <definedName name="BLPR16020040303143550287_1_2" hidden="1">#REF!</definedName>
    <definedName name="BLPR16020040303143550287_2_2" localSheetId="1" hidden="1">#REF!</definedName>
    <definedName name="BLPR16020040303143550287_2_2" hidden="1">#REF!</definedName>
    <definedName name="BLPR16120040303143550297" localSheetId="1" hidden="1">#REF!</definedName>
    <definedName name="BLPR16120040303143550297" hidden="1">#REF!</definedName>
    <definedName name="BLPR16120040303143550297_1_2" localSheetId="1" hidden="1">#REF!</definedName>
    <definedName name="BLPR16120040303143550297_1_2" hidden="1">#REF!</definedName>
    <definedName name="BLPR16120040303143550297_2_2" localSheetId="1" hidden="1">#REF!</definedName>
    <definedName name="BLPR16120040303143550297_2_2" hidden="1">#REF!</definedName>
    <definedName name="BLPR1620040303143540813" localSheetId="1" hidden="1">#REF!</definedName>
    <definedName name="BLPR1620040303143540813" hidden="1">#REF!</definedName>
    <definedName name="BLPR1620040303143540813_1_3" localSheetId="1" hidden="1">#REF!</definedName>
    <definedName name="BLPR1620040303143540813_1_3" hidden="1">#REF!</definedName>
    <definedName name="BLPR1620040303143540813_2_3" localSheetId="1" hidden="1">#REF!</definedName>
    <definedName name="BLPR1620040303143540813_2_3" hidden="1">#REF!</definedName>
    <definedName name="BLPR1620040303143540813_3_3" localSheetId="1" hidden="1">#REF!</definedName>
    <definedName name="BLPR1620040303143540813_3_3" hidden="1">#REF!</definedName>
    <definedName name="BLPR16220040303143550317" localSheetId="1" hidden="1">#REF!</definedName>
    <definedName name="BLPR16220040303143550317" hidden="1">#REF!</definedName>
    <definedName name="BLPR16220040303143550317_1_2" localSheetId="1" hidden="1">#REF!</definedName>
    <definedName name="BLPR16220040303143550317_1_2" hidden="1">#REF!</definedName>
    <definedName name="BLPR16220040303143550317_2_2" localSheetId="1" hidden="1">#REF!</definedName>
    <definedName name="BLPR16220040303143550317_2_2" hidden="1">#REF!</definedName>
    <definedName name="BLPR16320040303143550327" localSheetId="1" hidden="1">#REF!</definedName>
    <definedName name="BLPR16320040303143550327" hidden="1">#REF!</definedName>
    <definedName name="BLPR16320040303143550327_1_2" localSheetId="1" hidden="1">#REF!</definedName>
    <definedName name="BLPR16320040303143550327_1_2" hidden="1">#REF!</definedName>
    <definedName name="BLPR16320040303143550327_2_2" localSheetId="1" hidden="1">#REF!</definedName>
    <definedName name="BLPR16320040303143550327_2_2" hidden="1">#REF!</definedName>
    <definedName name="BLPR16420040303143550347" localSheetId="1" hidden="1">#REF!</definedName>
    <definedName name="BLPR16420040303143550347" hidden="1">#REF!</definedName>
    <definedName name="BLPR16420040303143550347_1_2" localSheetId="1" hidden="1">#REF!</definedName>
    <definedName name="BLPR16420040303143550347_1_2" hidden="1">#REF!</definedName>
    <definedName name="BLPR16420040303143550347_2_2" localSheetId="1" hidden="1">#REF!</definedName>
    <definedName name="BLPR16420040303143550347_2_2" hidden="1">#REF!</definedName>
    <definedName name="BLPR16520040303143550357" localSheetId="1" hidden="1">#REF!</definedName>
    <definedName name="BLPR16520040303143550357" hidden="1">#REF!</definedName>
    <definedName name="BLPR16520040303143550357_1_2" localSheetId="1" hidden="1">#REF!</definedName>
    <definedName name="BLPR16520040303143550357_1_2" hidden="1">#REF!</definedName>
    <definedName name="BLPR16520040303143550357_2_2" localSheetId="1" hidden="1">#REF!</definedName>
    <definedName name="BLPR16520040303143550357_2_2" hidden="1">#REF!</definedName>
    <definedName name="BLPR16620040303143550377" localSheetId="1" hidden="1">#REF!</definedName>
    <definedName name="BLPR16620040303143550377" hidden="1">#REF!</definedName>
    <definedName name="BLPR16620040303143550377_1_2" localSheetId="1" hidden="1">#REF!</definedName>
    <definedName name="BLPR16620040303143550377_1_2" hidden="1">#REF!</definedName>
    <definedName name="BLPR16620040303143550377_2_2" localSheetId="1" hidden="1">#REF!</definedName>
    <definedName name="BLPR16620040303143550377_2_2" hidden="1">#REF!</definedName>
    <definedName name="BLPR16720040303143550397" localSheetId="1" hidden="1">#REF!</definedName>
    <definedName name="BLPR16720040303143550397" hidden="1">#REF!</definedName>
    <definedName name="BLPR16720040303143550397_1_2" localSheetId="1" hidden="1">#REF!</definedName>
    <definedName name="BLPR16720040303143550397_1_2" hidden="1">#REF!</definedName>
    <definedName name="BLPR16720040303143550397_2_2" localSheetId="1" hidden="1">#REF!</definedName>
    <definedName name="BLPR16720040303143550397_2_2" hidden="1">#REF!</definedName>
    <definedName name="BLPR16820040303143550407" localSheetId="1" hidden="1">#REF!</definedName>
    <definedName name="BLPR16820040303143550407" hidden="1">#REF!</definedName>
    <definedName name="BLPR16820040303143550407_1_2" localSheetId="1" hidden="1">#REF!</definedName>
    <definedName name="BLPR16820040303143550407_1_2" hidden="1">#REF!</definedName>
    <definedName name="BLPR16820040303143550407_2_2" localSheetId="1" hidden="1">#REF!</definedName>
    <definedName name="BLPR16820040303143550407_2_2" hidden="1">#REF!</definedName>
    <definedName name="BLPR16920040303143550427" localSheetId="1" hidden="1">#REF!</definedName>
    <definedName name="BLPR16920040303143550427" hidden="1">#REF!</definedName>
    <definedName name="BLPR16920040303143550427_1_2" localSheetId="1" hidden="1">#REF!</definedName>
    <definedName name="BLPR16920040303143550427_1_2" hidden="1">#REF!</definedName>
    <definedName name="BLPR16920040303143550427_2_2" localSheetId="1" hidden="1">#REF!</definedName>
    <definedName name="BLPR16920040303143550427_2_2" hidden="1">#REF!</definedName>
    <definedName name="BLPR17020040303143550437" localSheetId="1" hidden="1">#REF!</definedName>
    <definedName name="BLPR17020040303143550437" hidden="1">#REF!</definedName>
    <definedName name="BLPR17020040303143550437_1_2" localSheetId="1" hidden="1">#REF!</definedName>
    <definedName name="BLPR17020040303143550437_1_2" hidden="1">#REF!</definedName>
    <definedName name="BLPR17020040303143550437_2_2" localSheetId="1" hidden="1">#REF!</definedName>
    <definedName name="BLPR17020040303143550437_2_2" hidden="1">#REF!</definedName>
    <definedName name="BLPR17120040303143550457" localSheetId="1" hidden="1">#REF!</definedName>
    <definedName name="BLPR17120040303143550457" hidden="1">#REF!</definedName>
    <definedName name="BLPR17120040303143550457_1_2" localSheetId="1" hidden="1">#REF!</definedName>
    <definedName name="BLPR17120040303143550457_1_2" hidden="1">#REF!</definedName>
    <definedName name="BLPR17120040303143550457_2_2" localSheetId="1" hidden="1">#REF!</definedName>
    <definedName name="BLPR17120040303143550457_2_2" hidden="1">#REF!</definedName>
    <definedName name="BLPR1720040303143540823" localSheetId="1" hidden="1">#REF!</definedName>
    <definedName name="BLPR1720040303143540823" hidden="1">#REF!</definedName>
    <definedName name="BLPR1720040303143540823_1_3" localSheetId="1" hidden="1">#REF!</definedName>
    <definedName name="BLPR1720040303143540823_1_3" hidden="1">#REF!</definedName>
    <definedName name="BLPR1720040303143540823_2_3" localSheetId="1" hidden="1">#REF!</definedName>
    <definedName name="BLPR1720040303143540823_2_3" hidden="1">#REF!</definedName>
    <definedName name="BLPR1720040303143540823_3_3" localSheetId="1" hidden="1">#REF!</definedName>
    <definedName name="BLPR1720040303143540823_3_3" hidden="1">#REF!</definedName>
    <definedName name="BLPR17220040303143550477" localSheetId="1" hidden="1">#REF!</definedName>
    <definedName name="BLPR17220040303143550477" hidden="1">#REF!</definedName>
    <definedName name="BLPR17220040303143550477_1_2" localSheetId="1" hidden="1">#REF!</definedName>
    <definedName name="BLPR17220040303143550477_1_2" hidden="1">#REF!</definedName>
    <definedName name="BLPR17220040303143550477_2_2" localSheetId="1" hidden="1">#REF!</definedName>
    <definedName name="BLPR17220040303143550477_2_2" hidden="1">#REF!</definedName>
    <definedName name="BLPR17320040303143550487" localSheetId="1" hidden="1">#REF!</definedName>
    <definedName name="BLPR17320040303143550487" hidden="1">#REF!</definedName>
    <definedName name="BLPR17320040303143550487_1_2" localSheetId="1" hidden="1">#REF!</definedName>
    <definedName name="BLPR17320040303143550487_1_2" hidden="1">#REF!</definedName>
    <definedName name="BLPR17320040303143550487_2_2" localSheetId="1" hidden="1">#REF!</definedName>
    <definedName name="BLPR17320040303143550487_2_2" hidden="1">#REF!</definedName>
    <definedName name="BLPR17420040303143550507" localSheetId="1" hidden="1">#REF!</definedName>
    <definedName name="BLPR17420040303143550507" hidden="1">#REF!</definedName>
    <definedName name="BLPR17420040303143550507_1_2" localSheetId="1" hidden="1">#REF!</definedName>
    <definedName name="BLPR17420040303143550507_1_2" hidden="1">#REF!</definedName>
    <definedName name="BLPR17420040303143550507_2_2" localSheetId="1" hidden="1">#REF!</definedName>
    <definedName name="BLPR17420040303143550507_2_2" hidden="1">#REF!</definedName>
    <definedName name="BLPR17520040303143550527" localSheetId="1" hidden="1">#REF!</definedName>
    <definedName name="BLPR17520040303143550527" hidden="1">#REF!</definedName>
    <definedName name="BLPR17520040303143550527_1_2" localSheetId="1" hidden="1">#REF!</definedName>
    <definedName name="BLPR17520040303143550527_1_2" hidden="1">#REF!</definedName>
    <definedName name="BLPR17520040303143550527_2_2" localSheetId="1" hidden="1">#REF!</definedName>
    <definedName name="BLPR17520040303143550527_2_2" hidden="1">#REF!</definedName>
    <definedName name="BLPR17620040303143550547" localSheetId="1" hidden="1">#REF!</definedName>
    <definedName name="BLPR17620040303143550547" hidden="1">#REF!</definedName>
    <definedName name="BLPR17620040303143550547_1_2" localSheetId="1" hidden="1">#REF!</definedName>
    <definedName name="BLPR17620040303143550547_1_2" hidden="1">#REF!</definedName>
    <definedName name="BLPR17620040303143550547_2_2" localSheetId="1" hidden="1">#REF!</definedName>
    <definedName name="BLPR17620040303143550547_2_2" hidden="1">#REF!</definedName>
    <definedName name="BLPR17720040303143550557" localSheetId="1" hidden="1">#REF!</definedName>
    <definedName name="BLPR17720040303143550557" hidden="1">#REF!</definedName>
    <definedName name="BLPR17720040303143550557_1_2" localSheetId="1" hidden="1">#REF!</definedName>
    <definedName name="BLPR17720040303143550557_1_2" hidden="1">#REF!</definedName>
    <definedName name="BLPR17720040303143550557_2_2" localSheetId="1" hidden="1">#REF!</definedName>
    <definedName name="BLPR17720040303143550557_2_2" hidden="1">#REF!</definedName>
    <definedName name="BLPR17820040303143550577" localSheetId="1" hidden="1">#REF!</definedName>
    <definedName name="BLPR17820040303143550577" hidden="1">#REF!</definedName>
    <definedName name="BLPR17820040303143550577_1_2" localSheetId="1" hidden="1">#REF!</definedName>
    <definedName name="BLPR17820040303143550577_1_2" hidden="1">#REF!</definedName>
    <definedName name="BLPR17820040303143550577_2_2" localSheetId="1" hidden="1">#REF!</definedName>
    <definedName name="BLPR17820040303143550577_2_2" hidden="1">#REF!</definedName>
    <definedName name="BLPR17920040303143550597" localSheetId="1" hidden="1">#REF!</definedName>
    <definedName name="BLPR17920040303143550597" hidden="1">#REF!</definedName>
    <definedName name="BLPR17920040303143550597_1_2" localSheetId="1" hidden="1">#REF!</definedName>
    <definedName name="BLPR17920040303143550597_1_2" hidden="1">#REF!</definedName>
    <definedName name="BLPR17920040303143550597_2_2" localSheetId="1" hidden="1">#REF!</definedName>
    <definedName name="BLPR17920040303143550597_2_2" hidden="1">#REF!</definedName>
    <definedName name="BLPR18020040303143550617" localSheetId="1" hidden="1">#REF!</definedName>
    <definedName name="BLPR18020040303143550617" hidden="1">#REF!</definedName>
    <definedName name="BLPR18020040303143550617_1_2" localSheetId="1" hidden="1">#REF!</definedName>
    <definedName name="BLPR18020040303143550617_1_2" hidden="1">#REF!</definedName>
    <definedName name="BLPR18020040303143550617_2_2" localSheetId="1" hidden="1">#REF!</definedName>
    <definedName name="BLPR18020040303143550617_2_2" hidden="1">#REF!</definedName>
    <definedName name="BLPR18120040303143550637" localSheetId="1" hidden="1">#REF!</definedName>
    <definedName name="BLPR18120040303143550637" hidden="1">#REF!</definedName>
    <definedName name="BLPR18120040303143550637_1_2" localSheetId="1" hidden="1">#REF!</definedName>
    <definedName name="BLPR18120040303143550637_1_2" hidden="1">#REF!</definedName>
    <definedName name="BLPR18120040303143550637_2_2" localSheetId="1" hidden="1">#REF!</definedName>
    <definedName name="BLPR18120040303143550637_2_2" hidden="1">#REF!</definedName>
    <definedName name="BLPR1820040303143540823" localSheetId="1" hidden="1">#REF!</definedName>
    <definedName name="BLPR1820040303143540823" hidden="1">#REF!</definedName>
    <definedName name="BLPR1820040303143540823_1_3" localSheetId="1" hidden="1">#REF!</definedName>
    <definedName name="BLPR1820040303143540823_1_3" hidden="1">#REF!</definedName>
    <definedName name="BLPR1820040303143540823_2_3" localSheetId="1" hidden="1">#REF!</definedName>
    <definedName name="BLPR1820040303143540823_2_3" hidden="1">#REF!</definedName>
    <definedName name="BLPR1820040303143540823_3_3" localSheetId="1" hidden="1">#REF!</definedName>
    <definedName name="BLPR1820040303143540823_3_3" hidden="1">#REF!</definedName>
    <definedName name="BLPR18220040303143550657" localSheetId="1" hidden="1">#REF!</definedName>
    <definedName name="BLPR18220040303143550657" hidden="1">#REF!</definedName>
    <definedName name="BLPR18220040303143550657_1_2" localSheetId="1" hidden="1">#REF!</definedName>
    <definedName name="BLPR18220040303143550657_1_2" hidden="1">#REF!</definedName>
    <definedName name="BLPR18220040303143550657_2_2" localSheetId="1" hidden="1">#REF!</definedName>
    <definedName name="BLPR18220040303143550657_2_2" hidden="1">#REF!</definedName>
    <definedName name="BLPR18320040303143550678" localSheetId="1" hidden="1">#REF!</definedName>
    <definedName name="BLPR18320040303143550678" hidden="1">#REF!</definedName>
    <definedName name="BLPR18320040303143550678_1_2" localSheetId="1" hidden="1">#REF!</definedName>
    <definedName name="BLPR18320040303143550678_1_2" hidden="1">#REF!</definedName>
    <definedName name="BLPR18320040303143550678_2_2" localSheetId="1" hidden="1">#REF!</definedName>
    <definedName name="BLPR18320040303143550678_2_2" hidden="1">#REF!</definedName>
    <definedName name="BLPR18420040303143550698" localSheetId="1" hidden="1">#REF!</definedName>
    <definedName name="BLPR18420040303143550698" hidden="1">#REF!</definedName>
    <definedName name="BLPR18420040303143550698_1_2" localSheetId="1" hidden="1">#REF!</definedName>
    <definedName name="BLPR18420040303143550698_1_2" hidden="1">#REF!</definedName>
    <definedName name="BLPR18420040303143550698_2_2" localSheetId="1" hidden="1">#REF!</definedName>
    <definedName name="BLPR18420040303143550698_2_2" hidden="1">#REF!</definedName>
    <definedName name="BLPR18520040303143550718" localSheetId="1" hidden="1">#REF!</definedName>
    <definedName name="BLPR18520040303143550718" hidden="1">#REF!</definedName>
    <definedName name="BLPR18520040303143550718_1_2" localSheetId="1" hidden="1">#REF!</definedName>
    <definedName name="BLPR18520040303143550718_1_2" hidden="1">#REF!</definedName>
    <definedName name="BLPR18520040303143550718_2_2" localSheetId="1" hidden="1">#REF!</definedName>
    <definedName name="BLPR18520040303143550718_2_2" hidden="1">#REF!</definedName>
    <definedName name="BLPR18620040303143550738" localSheetId="1" hidden="1">#REF!</definedName>
    <definedName name="BLPR18620040303143550738" hidden="1">#REF!</definedName>
    <definedName name="BLPR18620040303143550738_1_2" localSheetId="1" hidden="1">#REF!</definedName>
    <definedName name="BLPR18620040303143550738_1_2" hidden="1">#REF!</definedName>
    <definedName name="BLPR18620040303143550738_2_2" localSheetId="1" hidden="1">#REF!</definedName>
    <definedName name="BLPR18620040303143550738_2_2" hidden="1">#REF!</definedName>
    <definedName name="BLPR18720040303143550758" localSheetId="1" hidden="1">#REF!</definedName>
    <definedName name="BLPR18720040303143550758" hidden="1">#REF!</definedName>
    <definedName name="BLPR18720040303143550758_1_2" localSheetId="1" hidden="1">#REF!</definedName>
    <definedName name="BLPR18720040303143550758_1_2" hidden="1">#REF!</definedName>
    <definedName name="BLPR18720040303143550758_2_2" localSheetId="1" hidden="1">#REF!</definedName>
    <definedName name="BLPR18720040303143550758_2_2" hidden="1">#REF!</definedName>
    <definedName name="BLPR18820040303143550778" localSheetId="1" hidden="1">#REF!</definedName>
    <definedName name="BLPR18820040303143550778" hidden="1">#REF!</definedName>
    <definedName name="BLPR18820040303143550778_1_2" localSheetId="1" hidden="1">#REF!</definedName>
    <definedName name="BLPR18820040303143550778_1_2" hidden="1">#REF!</definedName>
    <definedName name="BLPR18820040303143550778_2_2" localSheetId="1" hidden="1">#REF!</definedName>
    <definedName name="BLPR18820040303143550778_2_2" hidden="1">#REF!</definedName>
    <definedName name="BLPR18920040303143550798" localSheetId="1" hidden="1">#REF!</definedName>
    <definedName name="BLPR18920040303143550798" hidden="1">#REF!</definedName>
    <definedName name="BLPR18920040303143550798_1_2" localSheetId="1" hidden="1">#REF!</definedName>
    <definedName name="BLPR18920040303143550798_1_2" hidden="1">#REF!</definedName>
    <definedName name="BLPR18920040303143550798_2_2" localSheetId="1" hidden="1">#REF!</definedName>
    <definedName name="BLPR18920040303143550798_2_2" hidden="1">#REF!</definedName>
    <definedName name="BLPR19020040303143550818" localSheetId="1" hidden="1">#REF!</definedName>
    <definedName name="BLPR19020040303143550818" hidden="1">#REF!</definedName>
    <definedName name="BLPR19020040303143550818_1_2" localSheetId="1" hidden="1">#REF!</definedName>
    <definedName name="BLPR19020040303143550818_1_2" hidden="1">#REF!</definedName>
    <definedName name="BLPR19020040303143550818_2_2" localSheetId="1" hidden="1">#REF!</definedName>
    <definedName name="BLPR19020040303143550818_2_2" hidden="1">#REF!</definedName>
    <definedName name="BLPR19120040303143550838" localSheetId="1" hidden="1">#REF!</definedName>
    <definedName name="BLPR19120040303143550838" hidden="1">#REF!</definedName>
    <definedName name="BLPR19120040303143550838_1_2" localSheetId="1" hidden="1">#REF!</definedName>
    <definedName name="BLPR19120040303143550838_1_2" hidden="1">#REF!</definedName>
    <definedName name="BLPR19120040303143550838_2_2" localSheetId="1" hidden="1">#REF!</definedName>
    <definedName name="BLPR19120040303143550838_2_2" hidden="1">#REF!</definedName>
    <definedName name="BLPR1920040303143540823" localSheetId="1" hidden="1">#REF!</definedName>
    <definedName name="BLPR1920040303143540823" hidden="1">#REF!</definedName>
    <definedName name="BLPR1920040303143540823_1_3" localSheetId="1" hidden="1">#REF!</definedName>
    <definedName name="BLPR1920040303143540823_1_3" hidden="1">#REF!</definedName>
    <definedName name="BLPR1920040303143540823_2_3" localSheetId="1" hidden="1">#REF!</definedName>
    <definedName name="BLPR1920040303143540823_2_3" hidden="1">#REF!</definedName>
    <definedName name="BLPR1920040303143540823_3_3" localSheetId="1" hidden="1">#REF!</definedName>
    <definedName name="BLPR1920040303143540823_3_3" hidden="1">#REF!</definedName>
    <definedName name="BLPR19220040303143550858" localSheetId="1" hidden="1">#REF!</definedName>
    <definedName name="BLPR19220040303143550858" hidden="1">#REF!</definedName>
    <definedName name="BLPR19220040303143550858_1_2" localSheetId="1" hidden="1">#REF!</definedName>
    <definedName name="BLPR19220040303143550858_1_2" hidden="1">#REF!</definedName>
    <definedName name="BLPR19220040303143550858_2_2" localSheetId="1" hidden="1">#REF!</definedName>
    <definedName name="BLPR19220040303143550858_2_2" hidden="1">#REF!</definedName>
    <definedName name="BLPR19320040303143550878" localSheetId="1" hidden="1">#REF!</definedName>
    <definedName name="BLPR19320040303143550878" hidden="1">#REF!</definedName>
    <definedName name="BLPR19320040303143550878_1_2" localSheetId="1" hidden="1">#REF!</definedName>
    <definedName name="BLPR19320040303143550878_1_2" hidden="1">#REF!</definedName>
    <definedName name="BLPR19320040303143550878_2_2" localSheetId="1" hidden="1">#REF!</definedName>
    <definedName name="BLPR19320040303143550878_2_2" hidden="1">#REF!</definedName>
    <definedName name="BLPR19420040303143550898" localSheetId="1" hidden="1">#REF!</definedName>
    <definedName name="BLPR19420040303143550898" hidden="1">#REF!</definedName>
    <definedName name="BLPR19420040303143550898_1_2" localSheetId="1" hidden="1">#REF!</definedName>
    <definedName name="BLPR19420040303143550898_1_2" hidden="1">#REF!</definedName>
    <definedName name="BLPR19420040303143550898_2_2" localSheetId="1" hidden="1">#REF!</definedName>
    <definedName name="BLPR19420040303143550898_2_2" hidden="1">#REF!</definedName>
    <definedName name="BLPR19520040303143550928" localSheetId="1" hidden="1">#REF!</definedName>
    <definedName name="BLPR19520040303143550928" hidden="1">#REF!</definedName>
    <definedName name="BLPR19520040303143550928_1_2" localSheetId="1" hidden="1">#REF!</definedName>
    <definedName name="BLPR19520040303143550928_1_2" hidden="1">#REF!</definedName>
    <definedName name="BLPR19520040303143550928_2_2" localSheetId="1" hidden="1">#REF!</definedName>
    <definedName name="BLPR19520040303143550928_2_2" hidden="1">#REF!</definedName>
    <definedName name="BLPR19620040303143550948" localSheetId="1" hidden="1">#REF!</definedName>
    <definedName name="BLPR19620040303143550948" hidden="1">#REF!</definedName>
    <definedName name="BLPR19620040303143550948_1_2" localSheetId="1" hidden="1">#REF!</definedName>
    <definedName name="BLPR19620040303143550948_1_2" hidden="1">#REF!</definedName>
    <definedName name="BLPR19620040303143550948_2_2" localSheetId="1" hidden="1">#REF!</definedName>
    <definedName name="BLPR19620040303143550948_2_2" hidden="1">#REF!</definedName>
    <definedName name="BLPR19720040303143550968" localSheetId="1" hidden="1">#REF!</definedName>
    <definedName name="BLPR19720040303143550968" hidden="1">#REF!</definedName>
    <definedName name="BLPR19720040303143550968_1_2" localSheetId="1" hidden="1">#REF!</definedName>
    <definedName name="BLPR19720040303143550968_1_2" hidden="1">#REF!</definedName>
    <definedName name="BLPR19720040303143550968_2_2" localSheetId="1" hidden="1">#REF!</definedName>
    <definedName name="BLPR19720040303143550968_2_2" hidden="1">#REF!</definedName>
    <definedName name="BLPR19820040303143550988" localSheetId="1" hidden="1">#REF!</definedName>
    <definedName name="BLPR19820040303143550988" hidden="1">#REF!</definedName>
    <definedName name="BLPR19820040303143550988_1_2" localSheetId="1" hidden="1">#REF!</definedName>
    <definedName name="BLPR19820040303143550988_1_2" hidden="1">#REF!</definedName>
    <definedName name="BLPR19820040303143550988_2_2" localSheetId="1" hidden="1">#REF!</definedName>
    <definedName name="BLPR19820040303143550988_2_2" hidden="1">#REF!</definedName>
    <definedName name="BLPR19920040303143551999" localSheetId="1" hidden="1">#REF!</definedName>
    <definedName name="BLPR19920040303143551999" hidden="1">#REF!</definedName>
    <definedName name="BLPR19920040303143551999_1_1" localSheetId="1" hidden="1">#REF!</definedName>
    <definedName name="BLPR19920040303143551999_1_1" hidden="1">#REF!</definedName>
    <definedName name="BLPR20020040303143551999" localSheetId="1" hidden="1">#REF!</definedName>
    <definedName name="BLPR20020040303143551999" hidden="1">#REF!</definedName>
    <definedName name="BLPR20020040303143551999_1_1" localSheetId="1" hidden="1">#REF!</definedName>
    <definedName name="BLPR20020040303143551999_1_1" hidden="1">#REF!</definedName>
    <definedName name="BLPR20120040303143551999" localSheetId="1" hidden="1">#REF!</definedName>
    <definedName name="BLPR20120040303143551999" hidden="1">#REF!</definedName>
    <definedName name="BLPR20120040303143551999_1_1" localSheetId="1" hidden="1">#REF!</definedName>
    <definedName name="BLPR20120040303143551999_1_1" hidden="1">#REF!</definedName>
    <definedName name="BLPR2020040303143540823" localSheetId="1" hidden="1">#REF!</definedName>
    <definedName name="BLPR2020040303143540823" hidden="1">#REF!</definedName>
    <definedName name="BLPR2020040303143540823_1_3" localSheetId="1" hidden="1">#REF!</definedName>
    <definedName name="BLPR2020040303143540823_1_3" hidden="1">#REF!</definedName>
    <definedName name="BLPR2020040303143540823_2_3" localSheetId="1" hidden="1">#REF!</definedName>
    <definedName name="BLPR2020040303143540823_2_3" hidden="1">#REF!</definedName>
    <definedName name="BLPR2020040303143540823_3_3" localSheetId="1" hidden="1">#REF!</definedName>
    <definedName name="BLPR2020040303143540823_3_3" hidden="1">#REF!</definedName>
    <definedName name="BLPR20220040303143551999" localSheetId="1" hidden="1">#REF!</definedName>
    <definedName name="BLPR20220040303143551999" hidden="1">#REF!</definedName>
    <definedName name="BLPR20220040303143551999_1_1" localSheetId="1" hidden="1">#REF!</definedName>
    <definedName name="BLPR20220040303143551999_1_1" hidden="1">#REF!</definedName>
    <definedName name="BLPR20320040303143552009" localSheetId="1" hidden="1">#REF!</definedName>
    <definedName name="BLPR20320040303143552009" hidden="1">#REF!</definedName>
    <definedName name="BLPR20320040303143552009_1_1" localSheetId="1" hidden="1">#REF!</definedName>
    <definedName name="BLPR20320040303143552009_1_1" hidden="1">#REF!</definedName>
    <definedName name="BLPR20420040303143552009" localSheetId="1" hidden="1">#REF!</definedName>
    <definedName name="BLPR20420040303143552009" hidden="1">#REF!</definedName>
    <definedName name="BLPR20420040303143552009_1_1" localSheetId="1" hidden="1">#REF!</definedName>
    <definedName name="BLPR20420040303143552009_1_1" hidden="1">#REF!</definedName>
    <definedName name="BLPR20520040303143552009" localSheetId="1" hidden="1">#REF!</definedName>
    <definedName name="BLPR20520040303143552009" hidden="1">#REF!</definedName>
    <definedName name="BLPR20520040303143552009_1_1" localSheetId="1" hidden="1">#REF!</definedName>
    <definedName name="BLPR20520040303143552009_1_1" hidden="1">#REF!</definedName>
    <definedName name="BLPR20620040303143552009" localSheetId="1" hidden="1">#REF!</definedName>
    <definedName name="BLPR20620040303143552009" hidden="1">#REF!</definedName>
    <definedName name="BLPR20620040303143552009_1_1" localSheetId="1" hidden="1">#REF!</definedName>
    <definedName name="BLPR20620040303143552009_1_1" hidden="1">#REF!</definedName>
    <definedName name="BLPR20720040303143552009" localSheetId="1" hidden="1">#REF!</definedName>
    <definedName name="BLPR20720040303143552009" hidden="1">#REF!</definedName>
    <definedName name="BLPR20720040303143552009_1_1" localSheetId="1" hidden="1">#REF!</definedName>
    <definedName name="BLPR20720040303143552009_1_1" hidden="1">#REF!</definedName>
    <definedName name="BLPR20820040303143552009" localSheetId="1" hidden="1">#REF!</definedName>
    <definedName name="BLPR20820040303143552009" hidden="1">#REF!</definedName>
    <definedName name="BLPR20820040303143552009_1_1" localSheetId="1" hidden="1">#REF!</definedName>
    <definedName name="BLPR20820040303143552009_1_1" hidden="1">#REF!</definedName>
    <definedName name="BLPR20920040303143552009" localSheetId="1" hidden="1">#REF!</definedName>
    <definedName name="BLPR20920040303143552009" hidden="1">#REF!</definedName>
    <definedName name="BLPR20920040303143552009_1_1" localSheetId="1" hidden="1">#REF!</definedName>
    <definedName name="BLPR20920040303143552009_1_1" hidden="1">#REF!</definedName>
    <definedName name="BLPR21020040303143552009" localSheetId="1" hidden="1">#REF!</definedName>
    <definedName name="BLPR21020040303143552009" hidden="1">#REF!</definedName>
    <definedName name="BLPR21020040303143552009_1_1" localSheetId="1" hidden="1">#REF!</definedName>
    <definedName name="BLPR21020040303143552009_1_1" hidden="1">#REF!</definedName>
    <definedName name="BLPR21120040303143552009" localSheetId="1" hidden="1">#REF!</definedName>
    <definedName name="BLPR21120040303143552009" hidden="1">#REF!</definedName>
    <definedName name="BLPR21120040303143552009_1_1" localSheetId="1" hidden="1">#REF!</definedName>
    <definedName name="BLPR21120040303143552009_1_1" hidden="1">#REF!</definedName>
    <definedName name="BLPR2120040303143540823" localSheetId="1" hidden="1">#REF!</definedName>
    <definedName name="BLPR2120040303143540823" hidden="1">#REF!</definedName>
    <definedName name="BLPR2120040303143540823_1_3" localSheetId="1" hidden="1">#REF!</definedName>
    <definedName name="BLPR2120040303143540823_1_3" hidden="1">#REF!</definedName>
    <definedName name="BLPR2120040303143540823_2_3" localSheetId="1" hidden="1">#REF!</definedName>
    <definedName name="BLPR2120040303143540823_2_3" hidden="1">#REF!</definedName>
    <definedName name="BLPR2120040303143540823_3_3" localSheetId="1" hidden="1">#REF!</definedName>
    <definedName name="BLPR2120040303143540823_3_3" hidden="1">#REF!</definedName>
    <definedName name="BLPR21220040303143552009" localSheetId="1" hidden="1">#REF!</definedName>
    <definedName name="BLPR21220040303143552009" hidden="1">#REF!</definedName>
    <definedName name="BLPR21220040303143552009_1_1" localSheetId="1" hidden="1">#REF!</definedName>
    <definedName name="BLPR21220040303143552009_1_1" hidden="1">#REF!</definedName>
    <definedName name="BLPR21320040303143552009" localSheetId="1" hidden="1">#REF!</definedName>
    <definedName name="BLPR21320040303143552009" hidden="1">#REF!</definedName>
    <definedName name="BLPR21320040303143552009_1_1" localSheetId="1" hidden="1">#REF!</definedName>
    <definedName name="BLPR21320040303143552009_1_1" hidden="1">#REF!</definedName>
    <definedName name="BLPR21420040303143552019" localSheetId="1" hidden="1">#REF!</definedName>
    <definedName name="BLPR21420040303143552019" hidden="1">#REF!</definedName>
    <definedName name="BLPR21420040303143552019_1_1" localSheetId="1" hidden="1">#REF!</definedName>
    <definedName name="BLPR21420040303143552019_1_1" hidden="1">#REF!</definedName>
    <definedName name="BLPR21520040303143552080" localSheetId="1" hidden="1">#REF!</definedName>
    <definedName name="BLPR21520040303143552080" hidden="1">#REF!</definedName>
    <definedName name="BLPR21520040303143552080_1_2" localSheetId="1" hidden="1">#REF!</definedName>
    <definedName name="BLPR21520040303143552080_1_2" hidden="1">#REF!</definedName>
    <definedName name="BLPR21520040303143552080_2_2" localSheetId="1" hidden="1">#REF!</definedName>
    <definedName name="BLPR21520040303143552080_2_2" hidden="1">#REF!</definedName>
    <definedName name="BLPR21620040303143552110" localSheetId="1" hidden="1">#REF!</definedName>
    <definedName name="BLPR21620040303143552110" hidden="1">#REF!</definedName>
    <definedName name="BLPR21620040303143552110_1_2" localSheetId="1" hidden="1">#REF!</definedName>
    <definedName name="BLPR21620040303143552110_1_2" hidden="1">#REF!</definedName>
    <definedName name="BLPR21620040303143552110_2_2" localSheetId="1" hidden="1">#REF!</definedName>
    <definedName name="BLPR21620040303143552110_2_2" hidden="1">#REF!</definedName>
    <definedName name="BLPR21720040303143552130" localSheetId="1" hidden="1">#REF!</definedName>
    <definedName name="BLPR21720040303143552130" hidden="1">#REF!</definedName>
    <definedName name="BLPR21720040303143552130_1_2" localSheetId="1" hidden="1">#REF!</definedName>
    <definedName name="BLPR21720040303143552130_1_2" hidden="1">#REF!</definedName>
    <definedName name="BLPR21720040303143552130_2_2" localSheetId="1" hidden="1">#REF!</definedName>
    <definedName name="BLPR21720040303143552130_2_2" hidden="1">#REF!</definedName>
    <definedName name="BLPR21820040303143552160" localSheetId="1" hidden="1">#REF!</definedName>
    <definedName name="BLPR21820040303143552160" hidden="1">#REF!</definedName>
    <definedName name="BLPR21820040303143552160_1_2" localSheetId="1" hidden="1">#REF!</definedName>
    <definedName name="BLPR21820040303143552160_1_2" hidden="1">#REF!</definedName>
    <definedName name="BLPR21820040303143552160_2_2" localSheetId="1" hidden="1">#REF!</definedName>
    <definedName name="BLPR21820040303143552160_2_2" hidden="1">#REF!</definedName>
    <definedName name="BLPR21920040303143552180" localSheetId="1" hidden="1">#REF!</definedName>
    <definedName name="BLPR21920040303143552180" hidden="1">#REF!</definedName>
    <definedName name="BLPR21920040303143552180_1_2" localSheetId="1" hidden="1">#REF!</definedName>
    <definedName name="BLPR21920040303143552180_1_2" hidden="1">#REF!</definedName>
    <definedName name="BLPR21920040303143552180_2_2" localSheetId="1" hidden="1">#REF!</definedName>
    <definedName name="BLPR21920040303143552180_2_2" hidden="1">#REF!</definedName>
    <definedName name="BLPR220040303143540773" localSheetId="1" hidden="1">#REF!</definedName>
    <definedName name="BLPR220040303143540773" hidden="1">#REF!</definedName>
    <definedName name="BLPR220040303143540773_1_3" localSheetId="1" hidden="1">#REF!</definedName>
    <definedName name="BLPR220040303143540773_1_3" hidden="1">#REF!</definedName>
    <definedName name="BLPR220040303143540773_2_3" localSheetId="1" hidden="1">#REF!</definedName>
    <definedName name="BLPR220040303143540773_2_3" hidden="1">#REF!</definedName>
    <definedName name="BLPR220040303143540773_3_3" localSheetId="1" hidden="1">#REF!</definedName>
    <definedName name="BLPR220040303143540773_3_3" hidden="1">#REF!</definedName>
    <definedName name="BLPR22020040303143552210" localSheetId="1" hidden="1">#REF!</definedName>
    <definedName name="BLPR22020040303143552210" hidden="1">#REF!</definedName>
    <definedName name="BLPR22020040303143552210_1_2" localSheetId="1" hidden="1">#REF!</definedName>
    <definedName name="BLPR22020040303143552210_1_2" hidden="1">#REF!</definedName>
    <definedName name="BLPR22020040303143552210_2_2" localSheetId="1" hidden="1">#REF!</definedName>
    <definedName name="BLPR22020040303143552210_2_2" hidden="1">#REF!</definedName>
    <definedName name="BLPR22120040303143552230" localSheetId="1" hidden="1">#REF!</definedName>
    <definedName name="BLPR22120040303143552230" hidden="1">#REF!</definedName>
    <definedName name="BLPR22120040303143552230_1_2" localSheetId="1" hidden="1">#REF!</definedName>
    <definedName name="BLPR22120040303143552230_1_2" hidden="1">#REF!</definedName>
    <definedName name="BLPR22120040303143552230_2_2" localSheetId="1" hidden="1">#REF!</definedName>
    <definedName name="BLPR22120040303143552230_2_2" hidden="1">#REF!</definedName>
    <definedName name="BLPR2220040303143540833" localSheetId="1" hidden="1">#REF!</definedName>
    <definedName name="BLPR2220040303143540833" hidden="1">#REF!</definedName>
    <definedName name="BLPR2220040303143540833_1_3" localSheetId="1" hidden="1">#REF!</definedName>
    <definedName name="BLPR2220040303143540833_1_3" hidden="1">#REF!</definedName>
    <definedName name="BLPR2220040303143540833_2_3" localSheetId="1" hidden="1">#REF!</definedName>
    <definedName name="BLPR2220040303143540833_2_3" hidden="1">#REF!</definedName>
    <definedName name="BLPR2220040303143540833_3_3" localSheetId="1" hidden="1">#REF!</definedName>
    <definedName name="BLPR2220040303143540833_3_3" hidden="1">#REF!</definedName>
    <definedName name="BLPR22220040303143552260" localSheetId="1" hidden="1">#REF!</definedName>
    <definedName name="BLPR22220040303143552260" hidden="1">#REF!</definedName>
    <definedName name="BLPR22220040303143552260_1_2" localSheetId="1" hidden="1">#REF!</definedName>
    <definedName name="BLPR22220040303143552260_1_2" hidden="1">#REF!</definedName>
    <definedName name="BLPR22220040303143552260_2_2" localSheetId="1" hidden="1">#REF!</definedName>
    <definedName name="BLPR22220040303143552260_2_2" hidden="1">#REF!</definedName>
    <definedName name="BLPR2320040303143540833" localSheetId="1" hidden="1">#REF!</definedName>
    <definedName name="BLPR2320040303143540833" hidden="1">#REF!</definedName>
    <definedName name="BLPR2320040303143540833_1_3" localSheetId="1" hidden="1">#REF!</definedName>
    <definedName name="BLPR2320040303143540833_1_3" hidden="1">#REF!</definedName>
    <definedName name="BLPR2320040303143540833_2_3" localSheetId="1" hidden="1">#REF!</definedName>
    <definedName name="BLPR2320040303143540833_2_3" hidden="1">#REF!</definedName>
    <definedName name="BLPR2320040303143540833_3_3" localSheetId="1" hidden="1">#REF!</definedName>
    <definedName name="BLPR2320040303143540833_3_3" hidden="1">#REF!</definedName>
    <definedName name="BLPR2420040303143540833" localSheetId="1" hidden="1">#REF!</definedName>
    <definedName name="BLPR2420040303143540833" hidden="1">#REF!</definedName>
    <definedName name="BLPR2420040303143540833_1_3" localSheetId="1" hidden="1">#REF!</definedName>
    <definedName name="BLPR2420040303143540833_1_3" hidden="1">#REF!</definedName>
    <definedName name="BLPR2420040303143540833_2_3" localSheetId="1" hidden="1">#REF!</definedName>
    <definedName name="BLPR2420040303143540833_2_3" hidden="1">#REF!</definedName>
    <definedName name="BLPR2420040303143540833_3_3" localSheetId="1" hidden="1">#REF!</definedName>
    <definedName name="BLPR2420040303143540833_3_3" hidden="1">#REF!</definedName>
    <definedName name="BLPR2520040303143540833" localSheetId="1" hidden="1">#REF!</definedName>
    <definedName name="BLPR2520040303143540833" hidden="1">#REF!</definedName>
    <definedName name="BLPR2520040303143540833_1_3" localSheetId="1" hidden="1">#REF!</definedName>
    <definedName name="BLPR2520040303143540833_1_3" hidden="1">#REF!</definedName>
    <definedName name="BLPR2520040303143540833_2_3" localSheetId="1" hidden="1">#REF!</definedName>
    <definedName name="BLPR2520040303143540833_2_3" hidden="1">#REF!</definedName>
    <definedName name="BLPR2520040303143540833_3_3" localSheetId="1" hidden="1">#REF!</definedName>
    <definedName name="BLPR2520040303143540833_3_3" hidden="1">#REF!</definedName>
    <definedName name="BLPR2620040303143540833" localSheetId="1" hidden="1">#REF!</definedName>
    <definedName name="BLPR2620040303143540833" hidden="1">#REF!</definedName>
    <definedName name="BLPR2620040303143540833_1_3" localSheetId="1" hidden="1">#REF!</definedName>
    <definedName name="BLPR2620040303143540833_1_3" hidden="1">#REF!</definedName>
    <definedName name="BLPR2620040303143540833_2_3" localSheetId="1" hidden="1">#REF!</definedName>
    <definedName name="BLPR2620040303143540833_2_3" hidden="1">#REF!</definedName>
    <definedName name="BLPR2620040303143540833_3_3" localSheetId="1" hidden="1">#REF!</definedName>
    <definedName name="BLPR2620040303143540833_3_3" hidden="1">#REF!</definedName>
    <definedName name="BLPR2720040303143540843" localSheetId="1" hidden="1">#REF!</definedName>
    <definedName name="BLPR2720040303143540843" hidden="1">#REF!</definedName>
    <definedName name="BLPR2720040303143540843_1_3" localSheetId="1" hidden="1">#REF!</definedName>
    <definedName name="BLPR2720040303143540843_1_3" hidden="1">#REF!</definedName>
    <definedName name="BLPR2720040303143540843_2_3" localSheetId="1" hidden="1">#REF!</definedName>
    <definedName name="BLPR2720040303143540843_2_3" hidden="1">#REF!</definedName>
    <definedName name="BLPR2720040303143540843_3_3" localSheetId="1" hidden="1">#REF!</definedName>
    <definedName name="BLPR2720040303143540843_3_3" hidden="1">#REF!</definedName>
    <definedName name="BLPR2820040303143540843" localSheetId="1" hidden="1">#REF!</definedName>
    <definedName name="BLPR2820040303143540843" hidden="1">#REF!</definedName>
    <definedName name="BLPR2820040303143540843_1_3" localSheetId="1" hidden="1">#REF!</definedName>
    <definedName name="BLPR2820040303143540843_1_3" hidden="1">#REF!</definedName>
    <definedName name="BLPR2820040303143540843_2_3" localSheetId="1" hidden="1">#REF!</definedName>
    <definedName name="BLPR2820040303143540843_2_3" hidden="1">#REF!</definedName>
    <definedName name="BLPR2820040303143540843_3_3" localSheetId="1" hidden="1">#REF!</definedName>
    <definedName name="BLPR2820040303143540843_3_3" hidden="1">#REF!</definedName>
    <definedName name="BLPR2920040303143540843" localSheetId="1" hidden="1">#REF!</definedName>
    <definedName name="BLPR2920040303143540843" hidden="1">#REF!</definedName>
    <definedName name="BLPR2920040303143540843_1_3" localSheetId="1" hidden="1">#REF!</definedName>
    <definedName name="BLPR2920040303143540843_1_3" hidden="1">#REF!</definedName>
    <definedName name="BLPR2920040303143540843_2_3" localSheetId="1" hidden="1">#REF!</definedName>
    <definedName name="BLPR2920040303143540843_2_3" hidden="1">#REF!</definedName>
    <definedName name="BLPR2920040303143540843_3_3" localSheetId="1" hidden="1">#REF!</definedName>
    <definedName name="BLPR2920040303143540843_3_3" hidden="1">#REF!</definedName>
    <definedName name="BLPR3020040303143540843" localSheetId="1" hidden="1">#REF!</definedName>
    <definedName name="BLPR3020040303143540843" hidden="1">#REF!</definedName>
    <definedName name="BLPR3020040303143540843_1_3" localSheetId="1" hidden="1">#REF!</definedName>
    <definedName name="BLPR3020040303143540843_1_3" hidden="1">#REF!</definedName>
    <definedName name="BLPR3020040303143540843_2_3" localSheetId="1" hidden="1">#REF!</definedName>
    <definedName name="BLPR3020040303143540843_2_3" hidden="1">#REF!</definedName>
    <definedName name="BLPR3020040303143540843_3_3" localSheetId="1" hidden="1">#REF!</definedName>
    <definedName name="BLPR3020040303143540843_3_3" hidden="1">#REF!</definedName>
    <definedName name="BLPR3120040303143540853" localSheetId="1" hidden="1">#REF!</definedName>
    <definedName name="BLPR3120040303143540853" hidden="1">#REF!</definedName>
    <definedName name="BLPR3120040303143540853_1_3" localSheetId="1" hidden="1">#REF!</definedName>
    <definedName name="BLPR3120040303143540853_1_3" hidden="1">#REF!</definedName>
    <definedName name="BLPR3120040303143540853_2_3" localSheetId="1" hidden="1">#REF!</definedName>
    <definedName name="BLPR3120040303143540853_2_3" hidden="1">#REF!</definedName>
    <definedName name="BLPR3120040303143540853_3_3" localSheetId="1" hidden="1">#REF!</definedName>
    <definedName name="BLPR3120040303143540853_3_3" hidden="1">#REF!</definedName>
    <definedName name="BLPR320040303143540773" localSheetId="1" hidden="1">#REF!</definedName>
    <definedName name="BLPR320040303143540773" hidden="1">#REF!</definedName>
    <definedName name="BLPR320040303143540773_1_3" localSheetId="1" hidden="1">#REF!</definedName>
    <definedName name="BLPR320040303143540773_1_3" hidden="1">#REF!</definedName>
    <definedName name="BLPR320040303143540773_2_3" localSheetId="1" hidden="1">#REF!</definedName>
    <definedName name="BLPR320040303143540773_2_3" hidden="1">#REF!</definedName>
    <definedName name="BLPR320040303143540773_3_3" localSheetId="1" hidden="1">#REF!</definedName>
    <definedName name="BLPR320040303143540773_3_3" hidden="1">#REF!</definedName>
    <definedName name="BLPR3220040303143540853" localSheetId="1" hidden="1">#REF!</definedName>
    <definedName name="BLPR3220040303143540853" hidden="1">#REF!</definedName>
    <definedName name="BLPR3220040303143540853_1_3" localSheetId="1" hidden="1">#REF!</definedName>
    <definedName name="BLPR3220040303143540853_1_3" hidden="1">#REF!</definedName>
    <definedName name="BLPR3220040303143540853_2_3" localSheetId="1" hidden="1">#REF!</definedName>
    <definedName name="BLPR3220040303143540853_2_3" hidden="1">#REF!</definedName>
    <definedName name="BLPR3220040303143540853_3_3" localSheetId="1" hidden="1">#REF!</definedName>
    <definedName name="BLPR3220040303143540853_3_3" hidden="1">#REF!</definedName>
    <definedName name="BLPR3320040303143540853" localSheetId="1" hidden="1">#REF!</definedName>
    <definedName name="BLPR3320040303143540853" hidden="1">#REF!</definedName>
    <definedName name="BLPR3320040303143540853_1_3" localSheetId="1" hidden="1">#REF!</definedName>
    <definedName name="BLPR3320040303143540853_1_3" hidden="1">#REF!</definedName>
    <definedName name="BLPR3320040303143540853_2_3" localSheetId="1" hidden="1">#REF!</definedName>
    <definedName name="BLPR3320040303143540853_2_3" hidden="1">#REF!</definedName>
    <definedName name="BLPR3320040303143540853_3_3" localSheetId="1" hidden="1">#REF!</definedName>
    <definedName name="BLPR3320040303143540853_3_3" hidden="1">#REF!</definedName>
    <definedName name="BLPR3420040303143540853" localSheetId="1" hidden="1">#REF!</definedName>
    <definedName name="BLPR3420040303143540853" hidden="1">#REF!</definedName>
    <definedName name="BLPR3420040303143540853_1_3" localSheetId="1" hidden="1">#REF!</definedName>
    <definedName name="BLPR3420040303143540853_1_3" hidden="1">#REF!</definedName>
    <definedName name="BLPR3420040303143540853_2_3" localSheetId="1" hidden="1">#REF!</definedName>
    <definedName name="BLPR3420040303143540853_2_3" hidden="1">#REF!</definedName>
    <definedName name="BLPR3420040303143540853_3_3" localSheetId="1" hidden="1">#REF!</definedName>
    <definedName name="BLPR3420040303143540853_3_3" hidden="1">#REF!</definedName>
    <definedName name="BLPR3520040303143540853" localSheetId="1" hidden="1">#REF!</definedName>
    <definedName name="BLPR3520040303143540853" hidden="1">#REF!</definedName>
    <definedName name="BLPR3520040303143540853_1_3" localSheetId="1" hidden="1">#REF!</definedName>
    <definedName name="BLPR3520040303143540853_1_3" hidden="1">#REF!</definedName>
    <definedName name="BLPR3520040303143540853_2_3" localSheetId="1" hidden="1">#REF!</definedName>
    <definedName name="BLPR3520040303143540853_2_3" hidden="1">#REF!</definedName>
    <definedName name="BLPR3520040303143540853_3_3" localSheetId="1" hidden="1">#REF!</definedName>
    <definedName name="BLPR3520040303143540853_3_3" hidden="1">#REF!</definedName>
    <definedName name="BLPR3620040303143540863" localSheetId="1" hidden="1">#REF!</definedName>
    <definedName name="BLPR3620040303143540863" hidden="1">#REF!</definedName>
    <definedName name="BLPR3620040303143540863_1_3" localSheetId="1" hidden="1">#REF!</definedName>
    <definedName name="BLPR3620040303143540863_1_3" hidden="1">#REF!</definedName>
    <definedName name="BLPR3620040303143540863_2_3" localSheetId="1" hidden="1">#REF!</definedName>
    <definedName name="BLPR3620040303143540863_2_3" hidden="1">#REF!</definedName>
    <definedName name="BLPR3620040303143540863_3_3" localSheetId="1" hidden="1">#REF!</definedName>
    <definedName name="BLPR3620040303143540863_3_3" hidden="1">#REF!</definedName>
    <definedName name="BLPR3720040303143540863" localSheetId="1" hidden="1">#REF!</definedName>
    <definedName name="BLPR3720040303143540863" hidden="1">#REF!</definedName>
    <definedName name="BLPR3720040303143540863_1_3" localSheetId="1" hidden="1">#REF!</definedName>
    <definedName name="BLPR3720040303143540863_1_3" hidden="1">#REF!</definedName>
    <definedName name="BLPR3720040303143540863_2_3" localSheetId="1" hidden="1">#REF!</definedName>
    <definedName name="BLPR3720040303143540863_2_3" hidden="1">#REF!</definedName>
    <definedName name="BLPR3720040303143540863_3_3" localSheetId="1" hidden="1">#REF!</definedName>
    <definedName name="BLPR3720040303143540863_3_3" hidden="1">#REF!</definedName>
    <definedName name="BLPR3820040303143540863" localSheetId="1" hidden="1">#REF!</definedName>
    <definedName name="BLPR3820040303143540863" hidden="1">#REF!</definedName>
    <definedName name="BLPR3820040303143540863_1_3" localSheetId="1" hidden="1">#REF!</definedName>
    <definedName name="BLPR3820040303143540863_1_3" hidden="1">#REF!</definedName>
    <definedName name="BLPR3820040303143540863_2_3" localSheetId="1" hidden="1">#REF!</definedName>
    <definedName name="BLPR3820040303143540863_2_3" hidden="1">#REF!</definedName>
    <definedName name="BLPR3820040303143540863_3_3" localSheetId="1" hidden="1">#REF!</definedName>
    <definedName name="BLPR3820040303143540863_3_3" hidden="1">#REF!</definedName>
    <definedName name="BLPR3920040303143540863" localSheetId="1" hidden="1">#REF!</definedName>
    <definedName name="BLPR3920040303143540863" hidden="1">#REF!</definedName>
    <definedName name="BLPR3920040303143540863_1_3" localSheetId="1" hidden="1">#REF!</definedName>
    <definedName name="BLPR3920040303143540863_1_3" hidden="1">#REF!</definedName>
    <definedName name="BLPR3920040303143540863_2_3" localSheetId="1" hidden="1">#REF!</definedName>
    <definedName name="BLPR3920040303143540863_2_3" hidden="1">#REF!</definedName>
    <definedName name="BLPR3920040303143540863_3_3" localSheetId="1" hidden="1">#REF!</definedName>
    <definedName name="BLPR3920040303143540863_3_3" hidden="1">#REF!</definedName>
    <definedName name="BLPR4020040303143540873" localSheetId="1" hidden="1">#REF!</definedName>
    <definedName name="BLPR4020040303143540873" hidden="1">#REF!</definedName>
    <definedName name="BLPR4020040303143540873_1_3" localSheetId="1" hidden="1">#REF!</definedName>
    <definedName name="BLPR4020040303143540873_1_3" hidden="1">#REF!</definedName>
    <definedName name="BLPR4020040303143540873_2_3" localSheetId="1" hidden="1">#REF!</definedName>
    <definedName name="BLPR4020040303143540873_2_3" hidden="1">#REF!</definedName>
    <definedName name="BLPR4020040303143540873_3_3" localSheetId="1" hidden="1">#REF!</definedName>
    <definedName name="BLPR4020040303143540873_3_3" hidden="1">#REF!</definedName>
    <definedName name="BLPR4120040303143540873" localSheetId="1" hidden="1">#REF!</definedName>
    <definedName name="BLPR4120040303143540873" hidden="1">#REF!</definedName>
    <definedName name="BLPR4120040303143540873_1_3" localSheetId="1" hidden="1">#REF!</definedName>
    <definedName name="BLPR4120040303143540873_1_3" hidden="1">#REF!</definedName>
    <definedName name="BLPR4120040303143540873_2_3" localSheetId="1" hidden="1">#REF!</definedName>
    <definedName name="BLPR4120040303143540873_2_3" hidden="1">#REF!</definedName>
    <definedName name="BLPR4120040303143540873_3_3" localSheetId="1" hidden="1">#REF!</definedName>
    <definedName name="BLPR4120040303143540873_3_3" hidden="1">#REF!</definedName>
    <definedName name="BLPR420040303143540783" localSheetId="1" hidden="1">#REF!</definedName>
    <definedName name="BLPR420040303143540783" hidden="1">#REF!</definedName>
    <definedName name="BLPR420040303143540783_1_3" localSheetId="1" hidden="1">#REF!</definedName>
    <definedName name="BLPR420040303143540783_1_3" hidden="1">#REF!</definedName>
    <definedName name="BLPR420040303143540783_2_3" localSheetId="1" hidden="1">#REF!</definedName>
    <definedName name="BLPR420040303143540783_2_3" hidden="1">#REF!</definedName>
    <definedName name="BLPR420040303143540783_3_3" localSheetId="1" hidden="1">#REF!</definedName>
    <definedName name="BLPR420040303143540783_3_3" hidden="1">#REF!</definedName>
    <definedName name="BLPR4220040303143540873" localSheetId="1" hidden="1">#REF!</definedName>
    <definedName name="BLPR4220040303143540873" hidden="1">#REF!</definedName>
    <definedName name="BLPR4220040303143540873_1_3" localSheetId="1" hidden="1">#REF!</definedName>
    <definedName name="BLPR4220040303143540873_1_3" hidden="1">#REF!</definedName>
    <definedName name="BLPR4220040303143540873_2_3" localSheetId="1" hidden="1">#REF!</definedName>
    <definedName name="BLPR4220040303143540873_2_3" hidden="1">#REF!</definedName>
    <definedName name="BLPR4220040303143540873_3_3" localSheetId="1" hidden="1">#REF!</definedName>
    <definedName name="BLPR4220040303143540873_3_3" hidden="1">#REF!</definedName>
    <definedName name="BLPR4320040303143540873" localSheetId="1" hidden="1">#REF!</definedName>
    <definedName name="BLPR4320040303143540873" hidden="1">#REF!</definedName>
    <definedName name="BLPR4320040303143540873_1_3" localSheetId="1" hidden="1">#REF!</definedName>
    <definedName name="BLPR4320040303143540873_1_3" hidden="1">#REF!</definedName>
    <definedName name="BLPR4320040303143540873_2_3" localSheetId="1" hidden="1">#REF!</definedName>
    <definedName name="BLPR4320040303143540873_2_3" hidden="1">#REF!</definedName>
    <definedName name="BLPR4320040303143540873_3_3" localSheetId="1" hidden="1">#REF!</definedName>
    <definedName name="BLPR4320040303143540873_3_3" hidden="1">#REF!</definedName>
    <definedName name="BLPR4420040303143540883" localSheetId="1" hidden="1">#REF!</definedName>
    <definedName name="BLPR4420040303143540883" hidden="1">#REF!</definedName>
    <definedName name="BLPR4420040303143540883_1_3" localSheetId="1" hidden="1">#REF!</definedName>
    <definedName name="BLPR4420040303143540883_1_3" hidden="1">#REF!</definedName>
    <definedName name="BLPR4420040303143540883_2_3" localSheetId="1" hidden="1">#REF!</definedName>
    <definedName name="BLPR4420040303143540883_2_3" hidden="1">#REF!</definedName>
    <definedName name="BLPR4420040303143540883_3_3" localSheetId="1" hidden="1">#REF!</definedName>
    <definedName name="BLPR4420040303143540883_3_3" hidden="1">#REF!</definedName>
    <definedName name="BLPR4520040303143540883" localSheetId="1" hidden="1">#REF!</definedName>
    <definedName name="BLPR4520040303143540883" hidden="1">#REF!</definedName>
    <definedName name="BLPR4520040303143540883_1_3" localSheetId="1" hidden="1">#REF!</definedName>
    <definedName name="BLPR4520040303143540883_1_3" hidden="1">#REF!</definedName>
    <definedName name="BLPR4520040303143540883_2_3" localSheetId="1" hidden="1">#REF!</definedName>
    <definedName name="BLPR4520040303143540883_2_3" hidden="1">#REF!</definedName>
    <definedName name="BLPR4520040303143540883_3_3" localSheetId="1" hidden="1">#REF!</definedName>
    <definedName name="BLPR4520040303143540883_3_3" hidden="1">#REF!</definedName>
    <definedName name="BLPR4620040303143540883" localSheetId="1" hidden="1">#REF!</definedName>
    <definedName name="BLPR4620040303143540883" hidden="1">#REF!</definedName>
    <definedName name="BLPR4620040303143540883_1_3" localSheetId="1" hidden="1">#REF!</definedName>
    <definedName name="BLPR4620040303143540883_1_3" hidden="1">#REF!</definedName>
    <definedName name="BLPR4620040303143540883_2_3" localSheetId="1" hidden="1">#REF!</definedName>
    <definedName name="BLPR4620040303143540883_2_3" hidden="1">#REF!</definedName>
    <definedName name="BLPR4620040303143540883_3_3" localSheetId="1" hidden="1">#REF!</definedName>
    <definedName name="BLPR4620040303143540883_3_3" hidden="1">#REF!</definedName>
    <definedName name="BLPR4720040303143540893" localSheetId="1" hidden="1">#REF!</definedName>
    <definedName name="BLPR4720040303143540893" hidden="1">#REF!</definedName>
    <definedName name="BLPR4720040303143540893_1_3" localSheetId="1" hidden="1">#REF!</definedName>
    <definedName name="BLPR4720040303143540893_1_3" hidden="1">#REF!</definedName>
    <definedName name="BLPR4720040303143540893_2_3" localSheetId="1" hidden="1">#REF!</definedName>
    <definedName name="BLPR4720040303143540893_2_3" hidden="1">#REF!</definedName>
    <definedName name="BLPR4720040303143540893_3_3" localSheetId="1" hidden="1">#REF!</definedName>
    <definedName name="BLPR4720040303143540893_3_3" hidden="1">#REF!</definedName>
    <definedName name="BLPR4820040303143540893" localSheetId="1" hidden="1">#REF!</definedName>
    <definedName name="BLPR4820040303143540893" hidden="1">#REF!</definedName>
    <definedName name="BLPR4820040303143540893_1_3" localSheetId="1" hidden="1">#REF!</definedName>
    <definedName name="BLPR4820040303143540893_1_3" hidden="1">#REF!</definedName>
    <definedName name="BLPR4820040303143540893_2_3" localSheetId="1" hidden="1">#REF!</definedName>
    <definedName name="BLPR4820040303143540893_2_3" hidden="1">#REF!</definedName>
    <definedName name="BLPR4820040303143540893_3_3" localSheetId="1" hidden="1">#REF!</definedName>
    <definedName name="BLPR4820040303143540893_3_3" hidden="1">#REF!</definedName>
    <definedName name="BLPR4920040303143542085" localSheetId="1" hidden="1">#REF!</definedName>
    <definedName name="BLPR4920040303143542085" hidden="1">#REF!</definedName>
    <definedName name="BLPR4920040303143542085_1_3" localSheetId="1" hidden="1">#REF!</definedName>
    <definedName name="BLPR4920040303143542085_1_3" hidden="1">#REF!</definedName>
    <definedName name="BLPR4920040303143542085_2_3" localSheetId="1" hidden="1">#REF!</definedName>
    <definedName name="BLPR4920040303143542085_2_3" hidden="1">#REF!</definedName>
    <definedName name="BLPR4920040303143542085_3_3" localSheetId="1" hidden="1">#REF!</definedName>
    <definedName name="BLPR4920040303143542085_3_3" hidden="1">#REF!</definedName>
    <definedName name="BLPR5020040303143542085" localSheetId="1" hidden="1">#REF!</definedName>
    <definedName name="BLPR5020040303143542085" hidden="1">#REF!</definedName>
    <definedName name="BLPR5020040303143542085_1_3" localSheetId="1" hidden="1">#REF!</definedName>
    <definedName name="BLPR5020040303143542085_1_3" hidden="1">#REF!</definedName>
    <definedName name="BLPR5020040303143542085_2_3" localSheetId="1" hidden="1">#REF!</definedName>
    <definedName name="BLPR5020040303143542085_2_3" hidden="1">#REF!</definedName>
    <definedName name="BLPR5020040303143542085_3_3" localSheetId="1" hidden="1">#REF!</definedName>
    <definedName name="BLPR5020040303143542085_3_3" hidden="1">#REF!</definedName>
    <definedName name="BLPR5120040303143542095" localSheetId="1" hidden="1">#REF!</definedName>
    <definedName name="BLPR5120040303143542095" hidden="1">#REF!</definedName>
    <definedName name="BLPR5120040303143542095_1_3" localSheetId="1" hidden="1">#REF!</definedName>
    <definedName name="BLPR5120040303143542095_1_3" hidden="1">#REF!</definedName>
    <definedName name="BLPR5120040303143542095_2_3" localSheetId="1" hidden="1">#REF!</definedName>
    <definedName name="BLPR5120040303143542095_2_3" hidden="1">#REF!</definedName>
    <definedName name="BLPR5120040303143542095_3_3" localSheetId="1" hidden="1">#REF!</definedName>
    <definedName name="BLPR5120040303143542095_3_3" hidden="1">#REF!</definedName>
    <definedName name="BLPR520040303143540783" localSheetId="1" hidden="1">#REF!</definedName>
    <definedName name="BLPR520040303143540783" hidden="1">#REF!</definedName>
    <definedName name="BLPR520040303143540783_1_3" localSheetId="1" hidden="1">#REF!</definedName>
    <definedName name="BLPR520040303143540783_1_3" hidden="1">#REF!</definedName>
    <definedName name="BLPR520040303143540783_2_3" localSheetId="1" hidden="1">#REF!</definedName>
    <definedName name="BLPR520040303143540783_2_3" hidden="1">#REF!</definedName>
    <definedName name="BLPR520040303143540783_3_3" localSheetId="1" hidden="1">#REF!</definedName>
    <definedName name="BLPR520040303143540783_3_3" hidden="1">#REF!</definedName>
    <definedName name="BLPR5220040303143542095" localSheetId="1" hidden="1">#REF!</definedName>
    <definedName name="BLPR5220040303143542095" hidden="1">#REF!</definedName>
    <definedName name="BLPR5220040303143542095_1_3" localSheetId="1" hidden="1">#REF!</definedName>
    <definedName name="BLPR5220040303143542095_1_3" hidden="1">#REF!</definedName>
    <definedName name="BLPR5220040303143542095_2_3" localSheetId="1" hidden="1">#REF!</definedName>
    <definedName name="BLPR5220040303143542095_2_3" hidden="1">#REF!</definedName>
    <definedName name="BLPR5220040303143542095_3_3" localSheetId="1" hidden="1">#REF!</definedName>
    <definedName name="BLPR5220040303143542095_3_3" hidden="1">#REF!</definedName>
    <definedName name="BLPR5320040303143542095" localSheetId="1" hidden="1">#REF!</definedName>
    <definedName name="BLPR5320040303143542095" hidden="1">#REF!</definedName>
    <definedName name="BLPR5320040303143542095_1_3" localSheetId="1" hidden="1">#REF!</definedName>
    <definedName name="BLPR5320040303143542095_1_3" hidden="1">#REF!</definedName>
    <definedName name="BLPR5320040303143542095_2_3" localSheetId="1" hidden="1">#REF!</definedName>
    <definedName name="BLPR5320040303143542095_2_3" hidden="1">#REF!</definedName>
    <definedName name="BLPR5320040303143542095_3_3" localSheetId="1" hidden="1">#REF!</definedName>
    <definedName name="BLPR5320040303143542095_3_3" hidden="1">#REF!</definedName>
    <definedName name="BLPR5420040303143542095" localSheetId="1" hidden="1">#REF!</definedName>
    <definedName name="BLPR5420040303143542095" hidden="1">#REF!</definedName>
    <definedName name="BLPR5420040303143542095_1_3" localSheetId="1" hidden="1">#REF!</definedName>
    <definedName name="BLPR5420040303143542095_1_3" hidden="1">#REF!</definedName>
    <definedName name="BLPR5420040303143542095_2_3" localSheetId="1" hidden="1">#REF!</definedName>
    <definedName name="BLPR5420040303143542095_2_3" hidden="1">#REF!</definedName>
    <definedName name="BLPR5420040303143542095_3_3" localSheetId="1" hidden="1">#REF!</definedName>
    <definedName name="BLPR5420040303143542095_3_3" hidden="1">#REF!</definedName>
    <definedName name="BLPR5520040303143542095" localSheetId="1" hidden="1">#REF!</definedName>
    <definedName name="BLPR5520040303143542095" hidden="1">#REF!</definedName>
    <definedName name="BLPR5520040303143542095_1_3" localSheetId="1" hidden="1">#REF!</definedName>
    <definedName name="BLPR5520040303143542095_1_3" hidden="1">#REF!</definedName>
    <definedName name="BLPR5520040303143542095_2_3" localSheetId="1" hidden="1">#REF!</definedName>
    <definedName name="BLPR5520040303143542095_2_3" hidden="1">#REF!</definedName>
    <definedName name="BLPR5520040303143542095_3_3" localSheetId="1" hidden="1">#REF!</definedName>
    <definedName name="BLPR5520040303143542095_3_3" hidden="1">#REF!</definedName>
    <definedName name="BLPR5620040303143542105" localSheetId="1" hidden="1">#REF!</definedName>
    <definedName name="BLPR5620040303143542105" hidden="1">#REF!</definedName>
    <definedName name="BLPR5620040303143542105_1_3" localSheetId="1" hidden="1">#REF!</definedName>
    <definedName name="BLPR5620040303143542105_1_3" hidden="1">#REF!</definedName>
    <definedName name="BLPR5620040303143542105_2_3" localSheetId="1" hidden="1">#REF!</definedName>
    <definedName name="BLPR5620040303143542105_2_3" hidden="1">#REF!</definedName>
    <definedName name="BLPR5620040303143542105_3_3" localSheetId="1" hidden="1">#REF!</definedName>
    <definedName name="BLPR5620040303143542105_3_3" hidden="1">#REF!</definedName>
    <definedName name="BLPR5720040303143542105" localSheetId="1" hidden="1">#REF!</definedName>
    <definedName name="BLPR5720040303143542105" hidden="1">#REF!</definedName>
    <definedName name="BLPR5720040303143542105_1_3" localSheetId="1" hidden="1">#REF!</definedName>
    <definedName name="BLPR5720040303143542105_1_3" hidden="1">#REF!</definedName>
    <definedName name="BLPR5720040303143542105_2_3" localSheetId="1" hidden="1">#REF!</definedName>
    <definedName name="BLPR5720040303143542105_2_3" hidden="1">#REF!</definedName>
    <definedName name="BLPR5720040303143542105_3_3" localSheetId="1" hidden="1">#REF!</definedName>
    <definedName name="BLPR5720040303143542105_3_3" hidden="1">#REF!</definedName>
    <definedName name="BLPR5820040303143548064" localSheetId="1" hidden="1">#REF!</definedName>
    <definedName name="BLPR5820040303143548064" hidden="1">#REF!</definedName>
    <definedName name="BLPR5820040303143548064_1_1" localSheetId="1" hidden="1">#REF!</definedName>
    <definedName name="BLPR5820040303143548064_1_1" hidden="1">#REF!</definedName>
    <definedName name="BLPR5920040303143548074" localSheetId="1" hidden="1">#REF!</definedName>
    <definedName name="BLPR5920040303143548074" hidden="1">#REF!</definedName>
    <definedName name="BLPR5920040303143548074_1_1" localSheetId="1" hidden="1">#REF!</definedName>
    <definedName name="BLPR5920040303143548074_1_1" hidden="1">#REF!</definedName>
    <definedName name="BLPR6020040303143548074" localSheetId="1" hidden="1">#REF!</definedName>
    <definedName name="BLPR6020040303143548074" hidden="1">#REF!</definedName>
    <definedName name="BLPR6020040303143548074_1_1" localSheetId="1" hidden="1">#REF!</definedName>
    <definedName name="BLPR6020040303143548074_1_1" hidden="1">#REF!</definedName>
    <definedName name="BLPR6120040303143548074" localSheetId="1" hidden="1">#REF!</definedName>
    <definedName name="BLPR6120040303143548074" hidden="1">#REF!</definedName>
    <definedName name="BLPR6120040303143548074_1_1" localSheetId="1" hidden="1">#REF!</definedName>
    <definedName name="BLPR6120040303143548074_1_1" hidden="1">#REF!</definedName>
    <definedName name="BLPR620040303143540783" localSheetId="1" hidden="1">#REF!</definedName>
    <definedName name="BLPR620040303143540783" hidden="1">#REF!</definedName>
    <definedName name="BLPR620040303143540783_1_3" localSheetId="1" hidden="1">#REF!</definedName>
    <definedName name="BLPR620040303143540783_1_3" hidden="1">#REF!</definedName>
    <definedName name="BLPR620040303143540783_2_3" localSheetId="1" hidden="1">#REF!</definedName>
    <definedName name="BLPR620040303143540783_2_3" hidden="1">#REF!</definedName>
    <definedName name="BLPR620040303143540783_3_3" localSheetId="1" hidden="1">#REF!</definedName>
    <definedName name="BLPR620040303143540783_3_3" hidden="1">#REF!</definedName>
    <definedName name="BLPR6220040303143548074" localSheetId="1" hidden="1">#REF!</definedName>
    <definedName name="BLPR6220040303143548074" hidden="1">#REF!</definedName>
    <definedName name="BLPR6220040303143548074_1_1" localSheetId="1" hidden="1">#REF!</definedName>
    <definedName name="BLPR6220040303143548074_1_1" hidden="1">#REF!</definedName>
    <definedName name="BLPR6320040303143548074" localSheetId="1" hidden="1">#REF!</definedName>
    <definedName name="BLPR6320040303143548074" hidden="1">#REF!</definedName>
    <definedName name="BLPR6320040303143548074_1_1" localSheetId="1" hidden="1">#REF!</definedName>
    <definedName name="BLPR6320040303143548074_1_1" hidden="1">#REF!</definedName>
    <definedName name="BLPR6420040303143548104" localSheetId="1" hidden="1">#REF!</definedName>
    <definedName name="BLPR6420040303143548104" hidden="1">#REF!</definedName>
    <definedName name="BLPR6420040303143548104_1_2" localSheetId="1" hidden="1">#REF!</definedName>
    <definedName name="BLPR6420040303143548104_1_2" hidden="1">#REF!</definedName>
    <definedName name="BLPR6420040303143548104_2_2" localSheetId="1" hidden="1">#REF!</definedName>
    <definedName name="BLPR6420040303143548104_2_2" hidden="1">#REF!</definedName>
    <definedName name="BLPR6520040303143548114" localSheetId="1" hidden="1">#REF!</definedName>
    <definedName name="BLPR6520040303143548114" hidden="1">#REF!</definedName>
    <definedName name="BLPR6520040303143548114_1_2" localSheetId="1" hidden="1">#REF!</definedName>
    <definedName name="BLPR6520040303143548114_1_2" hidden="1">#REF!</definedName>
    <definedName name="BLPR6520040303143548114_2_2" localSheetId="1" hidden="1">#REF!</definedName>
    <definedName name="BLPR6520040303143548114_2_2" hidden="1">#REF!</definedName>
    <definedName name="BLPR6620040303143548134" localSheetId="1" hidden="1">#REF!</definedName>
    <definedName name="BLPR6620040303143548134" hidden="1">#REF!</definedName>
    <definedName name="BLPR6620040303143548134_1_2" localSheetId="1" hidden="1">#REF!</definedName>
    <definedName name="BLPR6620040303143548134_1_2" hidden="1">#REF!</definedName>
    <definedName name="BLPR6620040303143548134_2_2" localSheetId="1" hidden="1">#REF!</definedName>
    <definedName name="BLPR6620040303143548134_2_2" hidden="1">#REF!</definedName>
    <definedName name="BLPR6720040303143549966" localSheetId="1" hidden="1">#REF!</definedName>
    <definedName name="BLPR6720040303143549966" hidden="1">#REF!</definedName>
    <definedName name="BLPR6720040303143549966_1_1" localSheetId="1" hidden="1">#REF!</definedName>
    <definedName name="BLPR6720040303143549966_1_1" hidden="1">#REF!</definedName>
    <definedName name="BLPR6820040303143549966" localSheetId="1" hidden="1">#REF!</definedName>
    <definedName name="BLPR6820040303143549966" hidden="1">#REF!</definedName>
    <definedName name="BLPR6820040303143549966_1_1" localSheetId="1" hidden="1">#REF!</definedName>
    <definedName name="BLPR6820040303143549966_1_1" hidden="1">#REF!</definedName>
    <definedName name="BLPR6920040303143549966" localSheetId="1" hidden="1">#REF!</definedName>
    <definedName name="BLPR6920040303143549966" hidden="1">#REF!</definedName>
    <definedName name="BLPR6920040303143549966_1_1" localSheetId="1" hidden="1">#REF!</definedName>
    <definedName name="BLPR6920040303143549966_1_1" hidden="1">#REF!</definedName>
    <definedName name="BLPR7020040303143549966" localSheetId="1" hidden="1">#REF!</definedName>
    <definedName name="BLPR7020040303143549966" hidden="1">#REF!</definedName>
    <definedName name="BLPR7020040303143549966_1_1" localSheetId="1" hidden="1">#REF!</definedName>
    <definedName name="BLPR7020040303143549966_1_1" hidden="1">#REF!</definedName>
    <definedName name="BLPR7120040303143549966" localSheetId="1" hidden="1">#REF!</definedName>
    <definedName name="BLPR7120040303143549966" hidden="1">#REF!</definedName>
    <definedName name="BLPR7120040303143549966_1_1" localSheetId="1" hidden="1">#REF!</definedName>
    <definedName name="BLPR7120040303143549966_1_1" hidden="1">#REF!</definedName>
    <definedName name="BLPR720040303143540783" localSheetId="1" hidden="1">#REF!</definedName>
    <definedName name="BLPR720040303143540783" hidden="1">#REF!</definedName>
    <definedName name="BLPR720040303143540783_1_3" localSheetId="1" hidden="1">#REF!</definedName>
    <definedName name="BLPR720040303143540783_1_3" hidden="1">#REF!</definedName>
    <definedName name="BLPR720040303143540783_2_3" localSheetId="1" hidden="1">#REF!</definedName>
    <definedName name="BLPR720040303143540783_2_3" hidden="1">#REF!</definedName>
    <definedName name="BLPR720040303143540783_3_3" localSheetId="1" hidden="1">#REF!</definedName>
    <definedName name="BLPR720040303143540783_3_3" hidden="1">#REF!</definedName>
    <definedName name="BLPR7220040303143549966" localSheetId="1" hidden="1">#REF!</definedName>
    <definedName name="BLPR7220040303143549966" hidden="1">#REF!</definedName>
    <definedName name="BLPR7220040303143549966_1_1" localSheetId="1" hidden="1">#REF!</definedName>
    <definedName name="BLPR7220040303143549966_1_1" hidden="1">#REF!</definedName>
    <definedName name="BLPR7320040303143549976" localSheetId="1" hidden="1">#REF!</definedName>
    <definedName name="BLPR7320040303143549976" hidden="1">#REF!</definedName>
    <definedName name="BLPR7320040303143549976_1_1" localSheetId="1" hidden="1">#REF!</definedName>
    <definedName name="BLPR7320040303143549976_1_1" hidden="1">#REF!</definedName>
    <definedName name="BLPR7420040303143549976" localSheetId="1" hidden="1">#REF!</definedName>
    <definedName name="BLPR7420040303143549976" hidden="1">#REF!</definedName>
    <definedName name="BLPR7420040303143549976_1_1" localSheetId="1" hidden="1">#REF!</definedName>
    <definedName name="BLPR7420040303143549976_1_1" hidden="1">#REF!</definedName>
    <definedName name="BLPR7520040303143549976" localSheetId="1" hidden="1">#REF!</definedName>
    <definedName name="BLPR7520040303143549976" hidden="1">#REF!</definedName>
    <definedName name="BLPR7520040303143549976_1_1" localSheetId="1" hidden="1">#REF!</definedName>
    <definedName name="BLPR7520040303143549976_1_1" hidden="1">#REF!</definedName>
    <definedName name="BLPR7620040303143549976" localSheetId="1" hidden="1">#REF!</definedName>
    <definedName name="BLPR7620040303143549976" hidden="1">#REF!</definedName>
    <definedName name="BLPR7620040303143549976_1_1" localSheetId="1" hidden="1">#REF!</definedName>
    <definedName name="BLPR7620040303143549976_1_1" hidden="1">#REF!</definedName>
    <definedName name="BLPR7720040303143549976" localSheetId="1" hidden="1">#REF!</definedName>
    <definedName name="BLPR7720040303143549976" hidden="1">#REF!</definedName>
    <definedName name="BLPR7720040303143549976_1_1" localSheetId="1" hidden="1">#REF!</definedName>
    <definedName name="BLPR7720040303143549976_1_1" hidden="1">#REF!</definedName>
    <definedName name="BLPR7820040303143549976" localSheetId="1" hidden="1">#REF!</definedName>
    <definedName name="BLPR7820040303143549976" hidden="1">#REF!</definedName>
    <definedName name="BLPR7820040303143549976_1_1" localSheetId="1" hidden="1">#REF!</definedName>
    <definedName name="BLPR7820040303143549976_1_1" hidden="1">#REF!</definedName>
    <definedName name="BLPR7920040303143549987" localSheetId="1" hidden="1">#REF!</definedName>
    <definedName name="BLPR7920040303143549987" hidden="1">#REF!</definedName>
    <definedName name="BLPR7920040303143549987_1_1" localSheetId="1" hidden="1">#REF!</definedName>
    <definedName name="BLPR7920040303143549987_1_1" hidden="1">#REF!</definedName>
    <definedName name="BLPR8020040303143549987" localSheetId="1" hidden="1">#REF!</definedName>
    <definedName name="BLPR8020040303143549987" hidden="1">#REF!</definedName>
    <definedName name="BLPR8020040303143549987_1_1" localSheetId="1" hidden="1">#REF!</definedName>
    <definedName name="BLPR8020040303143549987_1_1" hidden="1">#REF!</definedName>
    <definedName name="BLPR8120040303143549987" localSheetId="1" hidden="1">#REF!</definedName>
    <definedName name="BLPR8120040303143549987" hidden="1">#REF!</definedName>
    <definedName name="BLPR8120040303143549987_1_1" localSheetId="1" hidden="1">#REF!</definedName>
    <definedName name="BLPR8120040303143549987_1_1" hidden="1">#REF!</definedName>
    <definedName name="BLPR820040303143540793" localSheetId="1" hidden="1">#REF!</definedName>
    <definedName name="BLPR820040303143540793" hidden="1">#REF!</definedName>
    <definedName name="BLPR820040303143540793_1_3" localSheetId="1" hidden="1">#REF!</definedName>
    <definedName name="BLPR820040303143540793_1_3" hidden="1">#REF!</definedName>
    <definedName name="BLPR820040303143540793_2_3" localSheetId="1" hidden="1">#REF!</definedName>
    <definedName name="BLPR820040303143540793_2_3" hidden="1">#REF!</definedName>
    <definedName name="BLPR820040303143540793_3_3" localSheetId="1" hidden="1">#REF!</definedName>
    <definedName name="BLPR820040303143540793_3_3" hidden="1">#REF!</definedName>
    <definedName name="BLPR8220040303143549987" localSheetId="1" hidden="1">#REF!</definedName>
    <definedName name="BLPR8220040303143549987" hidden="1">#REF!</definedName>
    <definedName name="BLPR8220040303143549987_1_1" localSheetId="1" hidden="1">#REF!</definedName>
    <definedName name="BLPR8220040303143549987_1_1" hidden="1">#REF!</definedName>
    <definedName name="BLPR8320040303143549987" localSheetId="1" hidden="1">#REF!</definedName>
    <definedName name="BLPR8320040303143549987" hidden="1">#REF!</definedName>
    <definedName name="BLPR8320040303143549987_1_1" localSheetId="1" hidden="1">#REF!</definedName>
    <definedName name="BLPR8320040303143549987_1_1" hidden="1">#REF!</definedName>
    <definedName name="BLPR8420040303143549987" localSheetId="1" hidden="1">#REF!</definedName>
    <definedName name="BLPR8420040303143549987" hidden="1">#REF!</definedName>
    <definedName name="BLPR8420040303143549987_1_1" localSheetId="1" hidden="1">#REF!</definedName>
    <definedName name="BLPR8420040303143549987_1_1" hidden="1">#REF!</definedName>
    <definedName name="BLPR8520040303143549987" localSheetId="1" hidden="1">#REF!</definedName>
    <definedName name="BLPR8520040303143549987" hidden="1">#REF!</definedName>
    <definedName name="BLPR8520040303143549987_1_1" localSheetId="1" hidden="1">#REF!</definedName>
    <definedName name="BLPR8520040303143549987_1_1" hidden="1">#REF!</definedName>
    <definedName name="BLPR8620040303143549997" localSheetId="1" hidden="1">#REF!</definedName>
    <definedName name="BLPR8620040303143549997" hidden="1">#REF!</definedName>
    <definedName name="BLPR8620040303143549997_1_1" localSheetId="1" hidden="1">#REF!</definedName>
    <definedName name="BLPR8620040303143549997_1_1" hidden="1">#REF!</definedName>
    <definedName name="BLPR8720040303143549997" localSheetId="1" hidden="1">#REF!</definedName>
    <definedName name="BLPR8720040303143549997" hidden="1">#REF!</definedName>
    <definedName name="BLPR8720040303143549997_1_1" localSheetId="1" hidden="1">#REF!</definedName>
    <definedName name="BLPR8720040303143549997_1_1" hidden="1">#REF!</definedName>
    <definedName name="BLPR8820040303143549997" localSheetId="1" hidden="1">#REF!</definedName>
    <definedName name="BLPR8820040303143549997" hidden="1">#REF!</definedName>
    <definedName name="BLPR8820040303143549997_1_1" localSheetId="1" hidden="1">#REF!</definedName>
    <definedName name="BLPR8820040303143549997_1_1" hidden="1">#REF!</definedName>
    <definedName name="BLPR8920040303143549997" localSheetId="1" hidden="1">#REF!</definedName>
    <definedName name="BLPR8920040303143549997" hidden="1">#REF!</definedName>
    <definedName name="BLPR8920040303143549997_1_1" localSheetId="1" hidden="1">#REF!</definedName>
    <definedName name="BLPR8920040303143549997_1_1" hidden="1">#REF!</definedName>
    <definedName name="BLPR9020040303143549997" localSheetId="1" hidden="1">#REF!</definedName>
    <definedName name="BLPR9020040303143549997" hidden="1">#REF!</definedName>
    <definedName name="BLPR9020040303143549997_1_1" localSheetId="1" hidden="1">#REF!</definedName>
    <definedName name="BLPR9020040303143549997_1_1" hidden="1">#REF!</definedName>
    <definedName name="BLPR9120040303143549997" localSheetId="1" hidden="1">#REF!</definedName>
    <definedName name="BLPR9120040303143549997" hidden="1">#REF!</definedName>
    <definedName name="BLPR9120040303143549997_1_1" localSheetId="1" hidden="1">#REF!</definedName>
    <definedName name="BLPR9120040303143549997_1_1" hidden="1">#REF!</definedName>
    <definedName name="BLPR920040303143540803" localSheetId="1" hidden="1">#REF!</definedName>
    <definedName name="BLPR920040303143540803" hidden="1">#REF!</definedName>
    <definedName name="BLPR920040303143540803_1_3" localSheetId="1" hidden="1">#REF!</definedName>
    <definedName name="BLPR920040303143540803_1_3" hidden="1">#REF!</definedName>
    <definedName name="BLPR920040303143540803_2_3" localSheetId="1" hidden="1">#REF!</definedName>
    <definedName name="BLPR920040303143540803_2_3" hidden="1">#REF!</definedName>
    <definedName name="BLPR920040303143540803_3_3" localSheetId="1" hidden="1">#REF!</definedName>
    <definedName name="BLPR920040303143540803_3_3" hidden="1">#REF!</definedName>
    <definedName name="BLPR9220040303143550007" localSheetId="1" hidden="1">#REF!</definedName>
    <definedName name="BLPR9220040303143550007" hidden="1">#REF!</definedName>
    <definedName name="BLPR9220040303143550007_1_1" localSheetId="1" hidden="1">#REF!</definedName>
    <definedName name="BLPR9220040303143550007_1_1" hidden="1">#REF!</definedName>
    <definedName name="BLPR9320040303143550007" localSheetId="1" hidden="1">#REF!</definedName>
    <definedName name="BLPR9320040303143550007" hidden="1">#REF!</definedName>
    <definedName name="BLPR9320040303143550007_1_1" localSheetId="1" hidden="1">#REF!</definedName>
    <definedName name="BLPR9320040303143550007_1_1" hidden="1">#REF!</definedName>
    <definedName name="BLPR9420040303143550007" localSheetId="1" hidden="1">#REF!</definedName>
    <definedName name="BLPR9420040303143550007" hidden="1">#REF!</definedName>
    <definedName name="BLPR9420040303143550007_1_1" localSheetId="1" hidden="1">#REF!</definedName>
    <definedName name="BLPR9420040303143550007_1_1" hidden="1">#REF!</definedName>
    <definedName name="BLPR9520040303143550007" localSheetId="1" hidden="1">#REF!</definedName>
    <definedName name="BLPR9520040303143550007" hidden="1">#REF!</definedName>
    <definedName name="BLPR9520040303143550007_1_1" localSheetId="1" hidden="1">#REF!</definedName>
    <definedName name="BLPR9520040303143550007_1_1" hidden="1">#REF!</definedName>
    <definedName name="BLPR9620040303143550007" localSheetId="1" hidden="1">#REF!</definedName>
    <definedName name="BLPR9620040303143550007" hidden="1">#REF!</definedName>
    <definedName name="BLPR9620040303143550007_1_1" localSheetId="1" hidden="1">#REF!</definedName>
    <definedName name="BLPR9620040303143550007_1_1" hidden="1">#REF!</definedName>
    <definedName name="BLPR9720040303143550007" localSheetId="1" hidden="1">#REF!</definedName>
    <definedName name="BLPR9720040303143550007" hidden="1">#REF!</definedName>
    <definedName name="BLPR9720040303143550007_1_1" localSheetId="1" hidden="1">#REF!</definedName>
    <definedName name="BLPR9720040303143550007_1_1" hidden="1">#REF!</definedName>
    <definedName name="BLPR9820040303143550017" localSheetId="1" hidden="1">#REF!</definedName>
    <definedName name="BLPR9820040303143550017" hidden="1">#REF!</definedName>
    <definedName name="BLPR9820040303143550017_1_1" localSheetId="1" hidden="1">#REF!</definedName>
    <definedName name="BLPR9820040303143550017_1_1" hidden="1">#REF!</definedName>
    <definedName name="BLPR9920040303143550017" localSheetId="1" hidden="1">#REF!</definedName>
    <definedName name="BLPR9920040303143550017" hidden="1">#REF!</definedName>
    <definedName name="BLPR9920040303143550017_1_1" localSheetId="1" hidden="1">#REF!</definedName>
    <definedName name="BLPR9920040303143550017_1_1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FFO_DIFF_REUT" hidden="1">"c3890"</definedName>
    <definedName name="IQ_EST_FFO_SURPRISE_PERCENT_REUT" hidden="1">"c3891"</definedName>
    <definedName name="IQ_ESTIMATED_ASSESSABLE_DEPOSITS_FDIC" hidden="1">"c6490"</definedName>
    <definedName name="IQ_ESTIMATED_INSURED_DEPOSITS_FDIC" hidden="1">"c6491"</definedName>
    <definedName name="IQ_EXPENSE_CODE_" hidden="1">555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"01/01/0001 00:00:00"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Month">#REF!</definedName>
    <definedName name="Pal_Workbook_GUID" hidden="1">"3KSC7GN4Z2HU915S4J452IDY"</definedName>
    <definedName name="pl" localSheetId="1" hidden="1">{#N/A,#N/A,FALSE,"²Ä1­Ó¤ë"}</definedName>
    <definedName name="pl" hidden="1">{#N/A,#N/A,FALSE,"²Ä1­Ó¤ë"}</definedName>
    <definedName name="_xlnm.Print_Area" localSheetId="0">'Nynas Group_Q2'!$B$4:$L$346</definedName>
    <definedName name="_xlnm.Print_Area" localSheetId="1">'Nynas Group_Quarterly overview'!$B$6:$M$289</definedName>
    <definedName name="_xlnm.Print_Titles" localSheetId="0">'Nynas Group_Q2'!$1:$4</definedName>
    <definedName name="_xlnm.Print_Titles" localSheetId="1">'Nynas Group_Quarterly overview'!$2:$5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TLA.056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4" l="1"/>
  <c r="G84" i="4"/>
  <c r="F84" i="4"/>
  <c r="G104" i="1"/>
  <c r="F104" i="1"/>
  <c r="G98" i="1"/>
  <c r="F98" i="1"/>
  <c r="M42" i="9" l="1"/>
  <c r="L42" i="9"/>
  <c r="K42" i="9"/>
  <c r="J42" i="9"/>
  <c r="I42" i="9"/>
  <c r="H42" i="9"/>
  <c r="G42" i="9"/>
  <c r="F42" i="9"/>
  <c r="E42" i="9"/>
  <c r="D42" i="9"/>
  <c r="M31" i="9"/>
  <c r="L31" i="9"/>
  <c r="K31" i="9"/>
  <c r="J31" i="9"/>
  <c r="I31" i="9"/>
  <c r="H31" i="9"/>
  <c r="G31" i="9"/>
  <c r="F31" i="9"/>
  <c r="E31" i="9"/>
  <c r="D31" i="9"/>
  <c r="E25" i="9"/>
  <c r="M24" i="9"/>
  <c r="L24" i="9"/>
  <c r="K24" i="9"/>
  <c r="J24" i="9"/>
  <c r="I24" i="9"/>
  <c r="H24" i="9"/>
  <c r="G24" i="9"/>
  <c r="F24" i="9"/>
  <c r="E24" i="9"/>
  <c r="D24" i="9"/>
  <c r="M23" i="9"/>
  <c r="L23" i="9"/>
  <c r="K23" i="9"/>
  <c r="J23" i="9"/>
  <c r="I23" i="9"/>
  <c r="H23" i="9"/>
  <c r="G23" i="9"/>
  <c r="F23" i="9"/>
  <c r="E23" i="9"/>
  <c r="D23" i="9"/>
  <c r="M22" i="9"/>
  <c r="L22" i="9"/>
  <c r="K22" i="9"/>
  <c r="J22" i="9"/>
  <c r="I22" i="9"/>
  <c r="H22" i="9"/>
  <c r="G22" i="9"/>
  <c r="F22" i="9"/>
  <c r="E22" i="9"/>
  <c r="D22" i="9"/>
  <c r="M7" i="9"/>
  <c r="L7" i="9"/>
  <c r="L25" i="9" s="1"/>
  <c r="K7" i="9"/>
  <c r="K25" i="9" s="1"/>
  <c r="J7" i="9"/>
  <c r="J43" i="9" s="1"/>
  <c r="I7" i="9"/>
  <c r="I43" i="9" s="1"/>
  <c r="H7" i="9"/>
  <c r="H43" i="9" s="1"/>
  <c r="G7" i="9"/>
  <c r="G43" i="9" s="1"/>
  <c r="F7" i="9"/>
  <c r="F43" i="9" s="1"/>
  <c r="E7" i="9"/>
  <c r="E43" i="9" s="1"/>
  <c r="D7" i="9"/>
  <c r="D25" i="9" s="1"/>
  <c r="F25" i="9" l="1"/>
  <c r="G25" i="9"/>
  <c r="H25" i="9"/>
  <c r="I25" i="9"/>
  <c r="K43" i="9"/>
  <c r="J25" i="9"/>
  <c r="L43" i="9"/>
  <c r="M25" i="9"/>
  <c r="M43" i="9"/>
  <c r="D43" i="9"/>
  <c r="G11" i="4"/>
  <c r="F11" i="4"/>
  <c r="Q102" i="4"/>
  <c r="Q106" i="4" s="1"/>
  <c r="P102" i="4"/>
  <c r="O102" i="4"/>
  <c r="O106" i="4" s="1"/>
  <c r="N102" i="4"/>
  <c r="L102" i="4"/>
  <c r="L106" i="4" s="1"/>
  <c r="K102" i="4"/>
  <c r="K106" i="4" s="1"/>
  <c r="J102" i="4"/>
  <c r="J106" i="4" s="1"/>
  <c r="I102" i="4"/>
  <c r="E102" i="4"/>
  <c r="S102" i="4" s="1"/>
  <c r="D102" i="4"/>
  <c r="Q92" i="4"/>
  <c r="Q96" i="4" s="1"/>
  <c r="P92" i="4"/>
  <c r="P96" i="4" s="1"/>
  <c r="O92" i="4"/>
  <c r="O96" i="4" s="1"/>
  <c r="N92" i="4"/>
  <c r="N96" i="4" s="1"/>
  <c r="L92" i="4"/>
  <c r="L96" i="4" s="1"/>
  <c r="K92" i="4"/>
  <c r="K96" i="4" s="1"/>
  <c r="J92" i="4"/>
  <c r="I92" i="4"/>
  <c r="E92" i="4"/>
  <c r="S92" i="4" s="1"/>
  <c r="D92" i="4"/>
  <c r="D106" i="4" l="1"/>
  <c r="Y92" i="4"/>
  <c r="I98" i="1" s="1"/>
  <c r="T92" i="4"/>
  <c r="J96" i="4"/>
  <c r="AB92" i="4"/>
  <c r="Q11" i="4"/>
  <c r="P11" i="4"/>
  <c r="N11" i="4"/>
  <c r="AB102" i="4"/>
  <c r="O11" i="4"/>
  <c r="D11" i="4"/>
  <c r="AC102" i="4"/>
  <c r="I11" i="4"/>
  <c r="J11" i="4"/>
  <c r="T11" i="4" s="1"/>
  <c r="K11" i="4"/>
  <c r="E11" i="4"/>
  <c r="S11" i="4" s="1"/>
  <c r="V92" i="4"/>
  <c r="L98" i="1" s="1"/>
  <c r="D96" i="4"/>
  <c r="E96" i="4"/>
  <c r="E106" i="4"/>
  <c r="N106" i="4"/>
  <c r="W102" i="4"/>
  <c r="M104" i="1" s="1"/>
  <c r="P106" i="4"/>
  <c r="T102" i="4"/>
  <c r="I106" i="4"/>
  <c r="V102" i="4"/>
  <c r="L104" i="1" s="1"/>
  <c r="Z102" i="4"/>
  <c r="J104" i="1" s="1"/>
  <c r="AC92" i="4"/>
  <c r="Z92" i="4"/>
  <c r="J98" i="1" s="1"/>
  <c r="I96" i="4"/>
  <c r="W92" i="4"/>
  <c r="M98" i="1" s="1"/>
  <c r="Y102" i="4"/>
  <c r="I104" i="1" s="1"/>
  <c r="Z11" i="4" l="1"/>
  <c r="Y11" i="4"/>
  <c r="AC11" i="4"/>
  <c r="W11" i="4"/>
  <c r="Q87" i="4" l="1"/>
  <c r="P87" i="4"/>
  <c r="O87" i="4"/>
  <c r="N87" i="4"/>
  <c r="Q86" i="4"/>
  <c r="P86" i="4"/>
  <c r="O86" i="4"/>
  <c r="N86" i="4"/>
  <c r="L87" i="4"/>
  <c r="K87" i="4"/>
  <c r="J87" i="4"/>
  <c r="I87" i="4"/>
  <c r="L86" i="4"/>
  <c r="K86" i="4"/>
  <c r="J86" i="4"/>
  <c r="I86" i="4"/>
  <c r="E87" i="4"/>
  <c r="E86" i="4"/>
  <c r="D87" i="4"/>
  <c r="D86" i="4"/>
  <c r="S91" i="4"/>
  <c r="T91" i="4"/>
  <c r="V91" i="4"/>
  <c r="W91" i="4"/>
  <c r="AC91" i="4"/>
  <c r="AB91" i="4"/>
  <c r="Z91" i="4"/>
  <c r="Y91" i="4"/>
  <c r="AC101" i="4"/>
  <c r="AB101" i="4"/>
  <c r="Z101" i="4"/>
  <c r="Y101" i="4"/>
  <c r="W101" i="4"/>
  <c r="V101" i="4"/>
  <c r="T101" i="4"/>
  <c r="S101" i="4"/>
  <c r="S90" i="4"/>
  <c r="T90" i="4"/>
  <c r="V90" i="4"/>
  <c r="W90" i="4"/>
  <c r="Y90" i="4"/>
  <c r="Z90" i="4"/>
  <c r="AB90" i="4"/>
  <c r="AC90" i="4"/>
  <c r="M306" i="1" l="1"/>
  <c r="L306" i="1"/>
  <c r="J306" i="1"/>
  <c r="I306" i="1"/>
  <c r="G306" i="1"/>
  <c r="F306" i="1"/>
  <c r="M265" i="1"/>
  <c r="L265" i="1"/>
  <c r="J265" i="1"/>
  <c r="I265" i="1"/>
  <c r="G265" i="1"/>
  <c r="F265" i="1"/>
  <c r="I214" i="1"/>
  <c r="G214" i="1"/>
  <c r="F214" i="1"/>
  <c r="I171" i="1"/>
  <c r="G171" i="1"/>
  <c r="F171" i="1"/>
  <c r="M150" i="1"/>
  <c r="T153" i="4"/>
  <c r="G156" i="1" s="1"/>
  <c r="S153" i="4"/>
  <c r="F156" i="1" s="1"/>
  <c r="T152" i="4"/>
  <c r="G155" i="1" s="1"/>
  <c r="S152" i="4"/>
  <c r="F155" i="1" s="1"/>
  <c r="T151" i="4"/>
  <c r="G154" i="1" s="1"/>
  <c r="S151" i="4"/>
  <c r="F154" i="1" s="1"/>
  <c r="T147" i="4"/>
  <c r="G149" i="1" s="1"/>
  <c r="S147" i="4"/>
  <c r="F149" i="1" s="1"/>
  <c r="T146" i="4"/>
  <c r="G148" i="1" s="1"/>
  <c r="S146" i="4"/>
  <c r="F148" i="1" s="1"/>
  <c r="T139" i="4"/>
  <c r="G139" i="1" s="1"/>
  <c r="S139" i="4"/>
  <c r="F139" i="1" s="1"/>
  <c r="T135" i="4"/>
  <c r="G134" i="1" s="1"/>
  <c r="S135" i="4"/>
  <c r="F134" i="1" s="1"/>
  <c r="T134" i="4"/>
  <c r="G133" i="1" s="1"/>
  <c r="S134" i="4"/>
  <c r="F133" i="1" s="1"/>
  <c r="T131" i="4"/>
  <c r="G130" i="1" s="1"/>
  <c r="S131" i="4"/>
  <c r="F130" i="1" s="1"/>
  <c r="T130" i="4"/>
  <c r="G129" i="1" s="1"/>
  <c r="S130" i="4"/>
  <c r="F129" i="1" s="1"/>
  <c r="T129" i="4"/>
  <c r="G128" i="1" s="1"/>
  <c r="S129" i="4"/>
  <c r="F128" i="1" s="1"/>
  <c r="T128" i="4"/>
  <c r="G127" i="1" s="1"/>
  <c r="S128" i="4"/>
  <c r="F127" i="1" s="1"/>
  <c r="T127" i="4"/>
  <c r="G126" i="1" s="1"/>
  <c r="S127" i="4"/>
  <c r="F126" i="1" s="1"/>
  <c r="T126" i="4"/>
  <c r="G125" i="1" s="1"/>
  <c r="S126" i="4"/>
  <c r="F125" i="1" s="1"/>
  <c r="T123" i="4"/>
  <c r="G122" i="1" s="1"/>
  <c r="S123" i="4"/>
  <c r="F122" i="1" s="1"/>
  <c r="T122" i="4"/>
  <c r="G121" i="1" s="1"/>
  <c r="S122" i="4"/>
  <c r="F121" i="1" s="1"/>
  <c r="M119" i="1"/>
  <c r="L119" i="1"/>
  <c r="J119" i="1"/>
  <c r="I119" i="1"/>
  <c r="G119" i="1"/>
  <c r="F119" i="1"/>
  <c r="G6" i="1"/>
  <c r="G120" i="1" s="1"/>
  <c r="F6" i="1"/>
  <c r="F27" i="1" s="1"/>
  <c r="M6" i="1"/>
  <c r="M120" i="1" s="1"/>
  <c r="L6" i="1"/>
  <c r="L266" i="1" s="1"/>
  <c r="J6" i="1"/>
  <c r="J64" i="1" s="1"/>
  <c r="I6" i="1"/>
  <c r="I27" i="1" s="1"/>
  <c r="J63" i="1"/>
  <c r="I63" i="1"/>
  <c r="J26" i="1"/>
  <c r="I26" i="1"/>
  <c r="M266" i="1" l="1"/>
  <c r="I266" i="1"/>
  <c r="I120" i="1"/>
  <c r="I307" i="1"/>
  <c r="G307" i="1"/>
  <c r="F307" i="1"/>
  <c r="J27" i="1"/>
  <c r="J307" i="1"/>
  <c r="L27" i="1"/>
  <c r="L307" i="1"/>
  <c r="M307" i="1"/>
  <c r="F266" i="1"/>
  <c r="J120" i="1"/>
  <c r="L96" i="1"/>
  <c r="J266" i="1"/>
  <c r="M27" i="1"/>
  <c r="G266" i="1"/>
  <c r="L120" i="1"/>
  <c r="M96" i="1"/>
  <c r="G27" i="1"/>
  <c r="I96" i="1"/>
  <c r="F120" i="1"/>
  <c r="F96" i="1"/>
  <c r="G96" i="1"/>
  <c r="J96" i="1"/>
  <c r="I64" i="1"/>
  <c r="E19" i="4" l="1"/>
  <c r="AC279" i="4" l="1"/>
  <c r="AB279" i="4"/>
  <c r="Z286" i="4"/>
  <c r="J301" i="1" s="1"/>
  <c r="Y286" i="4"/>
  <c r="I301" i="1" s="1"/>
  <c r="Z280" i="4"/>
  <c r="J295" i="1" s="1"/>
  <c r="Y280" i="4"/>
  <c r="I295" i="1" s="1"/>
  <c r="Z279" i="4"/>
  <c r="J294" i="1" s="1"/>
  <c r="Y279" i="4"/>
  <c r="I294" i="1" s="1"/>
  <c r="Z278" i="4"/>
  <c r="J293" i="1" s="1"/>
  <c r="Y278" i="4"/>
  <c r="I293" i="1" s="1"/>
  <c r="Z277" i="4"/>
  <c r="J292" i="1" s="1"/>
  <c r="Y277" i="4"/>
  <c r="I292" i="1" s="1"/>
  <c r="Z276" i="4"/>
  <c r="J291" i="1" s="1"/>
  <c r="Y276" i="4"/>
  <c r="I291" i="1" s="1"/>
  <c r="Z272" i="4"/>
  <c r="J287" i="1" s="1"/>
  <c r="Y272" i="4"/>
  <c r="I287" i="1" s="1"/>
  <c r="Z271" i="4"/>
  <c r="J286" i="1" s="1"/>
  <c r="Y271" i="4"/>
  <c r="I286" i="1" s="1"/>
  <c r="Z270" i="4"/>
  <c r="J285" i="1" s="1"/>
  <c r="Y270" i="4"/>
  <c r="I285" i="1" s="1"/>
  <c r="Z269" i="4"/>
  <c r="J284" i="1" s="1"/>
  <c r="Y269" i="4"/>
  <c r="I284" i="1" s="1"/>
  <c r="Z263" i="4"/>
  <c r="J278" i="1" s="1"/>
  <c r="Y263" i="4"/>
  <c r="I278" i="1" s="1"/>
  <c r="Z262" i="4"/>
  <c r="J277" i="1" s="1"/>
  <c r="Y262" i="4"/>
  <c r="I277" i="1" s="1"/>
  <c r="Z261" i="4"/>
  <c r="J276" i="1" s="1"/>
  <c r="Y261" i="4"/>
  <c r="I276" i="1" s="1"/>
  <c r="Z257" i="4"/>
  <c r="J271" i="1" s="1"/>
  <c r="Y257" i="4"/>
  <c r="I271" i="1" s="1"/>
  <c r="Z256" i="4"/>
  <c r="J270" i="1" s="1"/>
  <c r="Y256" i="4"/>
  <c r="I270" i="1" s="1"/>
  <c r="Z255" i="4"/>
  <c r="J269" i="1" s="1"/>
  <c r="Y255" i="4"/>
  <c r="I269" i="1" s="1"/>
  <c r="Z244" i="4"/>
  <c r="G251" i="1" s="1"/>
  <c r="Y244" i="4"/>
  <c r="F251" i="1" s="1"/>
  <c r="Z243" i="4"/>
  <c r="G250" i="1" s="1"/>
  <c r="Y243" i="4"/>
  <c r="F250" i="1" s="1"/>
  <c r="Y242" i="4"/>
  <c r="F249" i="1" s="1"/>
  <c r="Z241" i="4"/>
  <c r="G248" i="1" s="1"/>
  <c r="Y241" i="4"/>
  <c r="F248" i="1" s="1"/>
  <c r="Z240" i="4"/>
  <c r="G247" i="1" s="1"/>
  <c r="Y240" i="4"/>
  <c r="F247" i="1" s="1"/>
  <c r="Z239" i="4"/>
  <c r="G246" i="1" s="1"/>
  <c r="Y239" i="4"/>
  <c r="F246" i="1" s="1"/>
  <c r="Z238" i="4"/>
  <c r="G245" i="1" s="1"/>
  <c r="Y238" i="4"/>
  <c r="F245" i="1" s="1"/>
  <c r="Z234" i="4"/>
  <c r="G241" i="1" s="1"/>
  <c r="Y234" i="4"/>
  <c r="F241" i="1" s="1"/>
  <c r="Z233" i="4"/>
  <c r="G240" i="1" s="1"/>
  <c r="Y233" i="4"/>
  <c r="F240" i="1" s="1"/>
  <c r="Z232" i="4"/>
  <c r="G239" i="1" s="1"/>
  <c r="Y232" i="4"/>
  <c r="F239" i="1" s="1"/>
  <c r="Z226" i="4"/>
  <c r="G233" i="1" s="1"/>
  <c r="Y226" i="4"/>
  <c r="F233" i="1" s="1"/>
  <c r="Z225" i="4"/>
  <c r="G232" i="1" s="1"/>
  <c r="Y225" i="4"/>
  <c r="F232" i="1" s="1"/>
  <c r="Z224" i="4"/>
  <c r="G231" i="1" s="1"/>
  <c r="Y224" i="4"/>
  <c r="F231" i="1" s="1"/>
  <c r="Z220" i="4"/>
  <c r="G227" i="1" s="1"/>
  <c r="Y220" i="4"/>
  <c r="F227" i="1" s="1"/>
  <c r="Z219" i="4"/>
  <c r="G226" i="1" s="1"/>
  <c r="Y219" i="4"/>
  <c r="F226" i="1" s="1"/>
  <c r="Z218" i="4"/>
  <c r="G225" i="1" s="1"/>
  <c r="Y218" i="4"/>
  <c r="F225" i="1" s="1"/>
  <c r="Z217" i="4"/>
  <c r="G224" i="1" s="1"/>
  <c r="Y217" i="4"/>
  <c r="F224" i="1" s="1"/>
  <c r="Z213" i="4"/>
  <c r="G220" i="1" s="1"/>
  <c r="Y213" i="4"/>
  <c r="F220" i="1" s="1"/>
  <c r="Z212" i="4"/>
  <c r="G219" i="1" s="1"/>
  <c r="Y212" i="4"/>
  <c r="F219" i="1" s="1"/>
  <c r="Z211" i="4"/>
  <c r="G218" i="1" s="1"/>
  <c r="Y211" i="4"/>
  <c r="F218" i="1" s="1"/>
  <c r="Z210" i="4"/>
  <c r="G217" i="1" s="1"/>
  <c r="Y210" i="4"/>
  <c r="F217" i="1" s="1"/>
  <c r="Z197" i="4"/>
  <c r="G204" i="1" s="1"/>
  <c r="Y197" i="4"/>
  <c r="F204" i="1" s="1"/>
  <c r="Z196" i="4"/>
  <c r="G203" i="1" s="1"/>
  <c r="Y196" i="4"/>
  <c r="F203" i="1" s="1"/>
  <c r="Z195" i="4"/>
  <c r="G202" i="1" s="1"/>
  <c r="Y195" i="4"/>
  <c r="F202" i="1" s="1"/>
  <c r="Z194" i="4"/>
  <c r="G201" i="1" s="1"/>
  <c r="Y194" i="4"/>
  <c r="F201" i="1" s="1"/>
  <c r="Z193" i="4"/>
  <c r="G200" i="1" s="1"/>
  <c r="Y193" i="4"/>
  <c r="F200" i="1" s="1"/>
  <c r="Z192" i="4"/>
  <c r="G199" i="1" s="1"/>
  <c r="Y192" i="4"/>
  <c r="F199" i="1" s="1"/>
  <c r="Z191" i="4"/>
  <c r="G198" i="1" s="1"/>
  <c r="Y191" i="4"/>
  <c r="F198" i="1" s="1"/>
  <c r="Z190" i="4"/>
  <c r="G197" i="1" s="1"/>
  <c r="Y190" i="4"/>
  <c r="F197" i="1" s="1"/>
  <c r="Z184" i="4"/>
  <c r="G191" i="1" s="1"/>
  <c r="Y184" i="4"/>
  <c r="F191" i="1" s="1"/>
  <c r="Z183" i="4"/>
  <c r="G190" i="1" s="1"/>
  <c r="Y183" i="4"/>
  <c r="F190" i="1" s="1"/>
  <c r="Z182" i="4"/>
  <c r="G189" i="1" s="1"/>
  <c r="Y182" i="4"/>
  <c r="F189" i="1" s="1"/>
  <c r="Z179" i="4"/>
  <c r="G186" i="1" s="1"/>
  <c r="Y179" i="4"/>
  <c r="F186" i="1" s="1"/>
  <c r="Z176" i="4"/>
  <c r="G183" i="1" s="1"/>
  <c r="Y176" i="4"/>
  <c r="F183" i="1" s="1"/>
  <c r="Z175" i="4"/>
  <c r="Y175" i="4"/>
  <c r="F182" i="1" s="1"/>
  <c r="Z174" i="4"/>
  <c r="G181" i="1" s="1"/>
  <c r="Y174" i="4"/>
  <c r="F181" i="1" s="1"/>
  <c r="Z173" i="4"/>
  <c r="G180" i="1" s="1"/>
  <c r="Y173" i="4"/>
  <c r="F180" i="1" s="1"/>
  <c r="Z169" i="4"/>
  <c r="Y169" i="4"/>
  <c r="F176" i="1" s="1"/>
  <c r="Z153" i="4"/>
  <c r="J156" i="1" s="1"/>
  <c r="Y153" i="4"/>
  <c r="I156" i="1" s="1"/>
  <c r="Z152" i="4"/>
  <c r="J155" i="1" s="1"/>
  <c r="Y152" i="4"/>
  <c r="I155" i="1" s="1"/>
  <c r="Z151" i="4"/>
  <c r="J154" i="1" s="1"/>
  <c r="Y151" i="4"/>
  <c r="I154" i="1" s="1"/>
  <c r="Z147" i="4"/>
  <c r="J149" i="1" s="1"/>
  <c r="Y147" i="4"/>
  <c r="I149" i="1" s="1"/>
  <c r="Z146" i="4"/>
  <c r="Y146" i="4"/>
  <c r="I148" i="1" s="1"/>
  <c r="Z139" i="4"/>
  <c r="J139" i="1" s="1"/>
  <c r="Y139" i="4"/>
  <c r="I139" i="1" s="1"/>
  <c r="Z135" i="4"/>
  <c r="J134" i="1" s="1"/>
  <c r="Y135" i="4"/>
  <c r="I134" i="1" s="1"/>
  <c r="Z134" i="4"/>
  <c r="J133" i="1" s="1"/>
  <c r="Y134" i="4"/>
  <c r="I133" i="1" s="1"/>
  <c r="Z131" i="4"/>
  <c r="J130" i="1" s="1"/>
  <c r="Y131" i="4"/>
  <c r="I130" i="1" s="1"/>
  <c r="Z130" i="4"/>
  <c r="J129" i="1" s="1"/>
  <c r="Y130" i="4"/>
  <c r="I129" i="1" s="1"/>
  <c r="Z129" i="4"/>
  <c r="J128" i="1" s="1"/>
  <c r="Y129" i="4"/>
  <c r="I128" i="1" s="1"/>
  <c r="Z128" i="4"/>
  <c r="J127" i="1" s="1"/>
  <c r="Y128" i="4"/>
  <c r="I127" i="1" s="1"/>
  <c r="Z127" i="4"/>
  <c r="J126" i="1" s="1"/>
  <c r="Y127" i="4"/>
  <c r="I126" i="1" s="1"/>
  <c r="Z126" i="4"/>
  <c r="J125" i="1" s="1"/>
  <c r="Y126" i="4"/>
  <c r="I125" i="1" s="1"/>
  <c r="Z123" i="4"/>
  <c r="J122" i="1" s="1"/>
  <c r="Y123" i="4"/>
  <c r="I122" i="1" s="1"/>
  <c r="Z122" i="4"/>
  <c r="J121" i="1" s="1"/>
  <c r="Y122" i="4"/>
  <c r="I121" i="1" s="1"/>
  <c r="Z112" i="4"/>
  <c r="Y112" i="4"/>
  <c r="Y111" i="4"/>
  <c r="Z110" i="4"/>
  <c r="Y110" i="4"/>
  <c r="Z109" i="4"/>
  <c r="Y109" i="4"/>
  <c r="Z105" i="4"/>
  <c r="Z106" i="4" s="1"/>
  <c r="Y105" i="4"/>
  <c r="Y106" i="4" s="1"/>
  <c r="Z104" i="4"/>
  <c r="Y104" i="4"/>
  <c r="Z103" i="4"/>
  <c r="J105" i="1" s="1"/>
  <c r="Y103" i="4"/>
  <c r="I105" i="1" s="1"/>
  <c r="Z100" i="4"/>
  <c r="Y100" i="4"/>
  <c r="Z99" i="4"/>
  <c r="J103" i="1" s="1"/>
  <c r="Y99" i="4"/>
  <c r="I103" i="1" s="1"/>
  <c r="Z95" i="4"/>
  <c r="Z96" i="4" s="1"/>
  <c r="Y95" i="4"/>
  <c r="Y96" i="4" s="1"/>
  <c r="Z94" i="4"/>
  <c r="Y94" i="4"/>
  <c r="Z93" i="4"/>
  <c r="J99" i="1" s="1"/>
  <c r="Y93" i="4"/>
  <c r="I99" i="1" s="1"/>
  <c r="Z89" i="4"/>
  <c r="J97" i="1" s="1"/>
  <c r="Y89" i="4"/>
  <c r="I97" i="1" s="1"/>
  <c r="Z81" i="4"/>
  <c r="J74" i="1" s="1"/>
  <c r="Y81" i="4"/>
  <c r="I74" i="1" s="1"/>
  <c r="Z39" i="4"/>
  <c r="J32" i="1" s="1"/>
  <c r="Y39" i="4"/>
  <c r="I32" i="1" s="1"/>
  <c r="Z38" i="4"/>
  <c r="J31" i="1" s="1"/>
  <c r="Z25" i="4"/>
  <c r="J21" i="1" s="1"/>
  <c r="Y25" i="4"/>
  <c r="I21" i="1" s="1"/>
  <c r="Z24" i="4"/>
  <c r="J20" i="1" s="1"/>
  <c r="Y24" i="4"/>
  <c r="I20" i="1" s="1"/>
  <c r="Z23" i="4"/>
  <c r="J19" i="1" s="1"/>
  <c r="Y23" i="4"/>
  <c r="I19" i="1" s="1"/>
  <c r="Z19" i="4"/>
  <c r="Y19" i="4"/>
  <c r="Z18" i="4"/>
  <c r="Y18" i="4"/>
  <c r="Z148" i="4" l="1"/>
  <c r="J148" i="1"/>
  <c r="Z177" i="4"/>
  <c r="G182" i="1"/>
  <c r="Z170" i="4"/>
  <c r="G176" i="1"/>
  <c r="Z281" i="4"/>
  <c r="Z227" i="4"/>
  <c r="Z124" i="4"/>
  <c r="Z132" i="4" s="1"/>
  <c r="Z41" i="4" s="1"/>
  <c r="J34" i="1" s="1"/>
  <c r="Z273" i="4"/>
  <c r="J106" i="1"/>
  <c r="J100" i="1"/>
  <c r="Z154" i="4"/>
  <c r="Z221" i="4"/>
  <c r="Z198" i="4"/>
  <c r="Z136" i="4"/>
  <c r="Z235" i="4"/>
  <c r="Z258" i="4"/>
  <c r="Z214" i="4"/>
  <c r="Z264" i="4"/>
  <c r="Z185" i="4"/>
  <c r="Z187" i="4" l="1"/>
  <c r="Z200" i="4" s="1"/>
  <c r="Z229" i="4"/>
  <c r="Z156" i="4"/>
  <c r="Z138" i="4"/>
  <c r="Z140" i="4" s="1"/>
  <c r="Z143" i="4" s="1"/>
  <c r="Z266" i="4"/>
  <c r="Z283" i="4" s="1"/>
  <c r="Z157" i="4" l="1"/>
  <c r="E38" i="4"/>
  <c r="D148" i="4" l="1"/>
  <c r="D154" i="4"/>
  <c r="D156" i="4" l="1"/>
  <c r="O245" i="4" l="1"/>
  <c r="J221" i="4"/>
  <c r="O227" i="4"/>
  <c r="J227" i="4"/>
  <c r="J235" i="4"/>
  <c r="O235" i="4"/>
  <c r="Z13" i="4" l="1"/>
  <c r="J229" i="4"/>
  <c r="B83" i="1" l="1"/>
  <c r="G16" i="4" l="1"/>
  <c r="F16" i="4"/>
  <c r="E16" i="4"/>
  <c r="D16" i="4"/>
  <c r="Q14" i="4"/>
  <c r="P14" i="4"/>
  <c r="O14" i="4"/>
  <c r="N14" i="4"/>
  <c r="L14" i="4"/>
  <c r="K14" i="4"/>
  <c r="J14" i="4"/>
  <c r="I14" i="4"/>
  <c r="G14" i="4"/>
  <c r="F14" i="4"/>
  <c r="E14" i="4"/>
  <c r="Y16" i="4" l="1"/>
  <c r="Z14" i="4"/>
  <c r="J10" i="1" s="1"/>
  <c r="T14" i="4"/>
  <c r="W14" i="4"/>
  <c r="S16" i="4"/>
  <c r="AC14" i="4"/>
  <c r="AB14" i="4"/>
  <c r="V16" i="4" l="1"/>
  <c r="M10" i="1"/>
  <c r="G10" i="1"/>
  <c r="Q217" i="4"/>
  <c r="P217" i="4"/>
  <c r="O217" i="4"/>
  <c r="N217" i="4"/>
  <c r="L150" i="1"/>
  <c r="J150" i="1"/>
  <c r="I150" i="1"/>
  <c r="G150" i="1"/>
  <c r="F150" i="1"/>
  <c r="J95" i="1"/>
  <c r="I95" i="1"/>
  <c r="G95" i="1"/>
  <c r="F95" i="1"/>
  <c r="M64" i="1"/>
  <c r="L64" i="1"/>
  <c r="G64" i="1"/>
  <c r="F64" i="1"/>
  <c r="M26" i="1"/>
  <c r="L26" i="1"/>
  <c r="G26" i="1"/>
  <c r="F26" i="1"/>
  <c r="O221" i="4" l="1"/>
  <c r="F12" i="1"/>
  <c r="O229" i="4" l="1"/>
  <c r="D14" i="4"/>
  <c r="Y14" i="4" l="1"/>
  <c r="I10" i="1" s="1"/>
  <c r="V14" i="4"/>
  <c r="S14" i="4"/>
  <c r="D38" i="4"/>
  <c r="Y38" i="4" s="1"/>
  <c r="I31" i="1" s="1"/>
  <c r="Q35" i="4"/>
  <c r="P35" i="4"/>
  <c r="O35" i="4"/>
  <c r="N35" i="4"/>
  <c r="K35" i="4"/>
  <c r="J35" i="4"/>
  <c r="I35" i="4"/>
  <c r="G35" i="4"/>
  <c r="F35" i="4"/>
  <c r="E35" i="4"/>
  <c r="D35" i="4"/>
  <c r="Y35" i="4" s="1"/>
  <c r="I28" i="1" s="1"/>
  <c r="Z35" i="4" l="1"/>
  <c r="J28" i="1" s="1"/>
  <c r="F10" i="1"/>
  <c r="L10" i="1"/>
  <c r="S276" i="4"/>
  <c r="F291" i="1" s="1"/>
  <c r="T272" i="4"/>
  <c r="G287" i="1" s="1"/>
  <c r="T244" i="4"/>
  <c r="T243" i="4"/>
  <c r="S242" i="4"/>
  <c r="T241" i="4"/>
  <c r="T240" i="4"/>
  <c r="T239" i="4"/>
  <c r="T238" i="4"/>
  <c r="T234" i="4"/>
  <c r="T226" i="4"/>
  <c r="T225" i="4"/>
  <c r="T224" i="4"/>
  <c r="T220" i="4"/>
  <c r="T219" i="4"/>
  <c r="T217" i="4"/>
  <c r="T213" i="4"/>
  <c r="T212" i="4"/>
  <c r="T211" i="4"/>
  <c r="T210" i="4"/>
  <c r="T197" i="4"/>
  <c r="T196" i="4"/>
  <c r="T195" i="4"/>
  <c r="T194" i="4"/>
  <c r="T193" i="4"/>
  <c r="T192" i="4"/>
  <c r="T191" i="4"/>
  <c r="T190" i="4"/>
  <c r="T184" i="4"/>
  <c r="T183" i="4"/>
  <c r="T182" i="4"/>
  <c r="T179" i="4"/>
  <c r="T176" i="4"/>
  <c r="T175" i="4"/>
  <c r="T174" i="4"/>
  <c r="T173" i="4"/>
  <c r="T169" i="4"/>
  <c r="I314" i="1"/>
  <c r="I311" i="1"/>
  <c r="D281" i="4"/>
  <c r="D273" i="4"/>
  <c r="D264" i="4"/>
  <c r="D258" i="4"/>
  <c r="T232" i="4"/>
  <c r="D245" i="4"/>
  <c r="D235" i="4"/>
  <c r="D227" i="4"/>
  <c r="D221" i="4"/>
  <c r="D214" i="4"/>
  <c r="D198" i="4"/>
  <c r="D185" i="4"/>
  <c r="D177" i="4"/>
  <c r="D170" i="4"/>
  <c r="D136" i="4"/>
  <c r="D124" i="4"/>
  <c r="I309" i="1" l="1"/>
  <c r="I312" i="1"/>
  <c r="I310" i="1"/>
  <c r="I313" i="1"/>
  <c r="D132" i="4"/>
  <c r="D247" i="4"/>
  <c r="D266" i="4"/>
  <c r="L4" i="9" s="1"/>
  <c r="L6" i="9" s="1"/>
  <c r="L11" i="9" s="1"/>
  <c r="D187" i="4"/>
  <c r="D229" i="4"/>
  <c r="D41" i="4" l="1"/>
  <c r="D138" i="4"/>
  <c r="D283" i="4"/>
  <c r="D200" i="4"/>
  <c r="D249" i="4"/>
  <c r="D140" i="4" l="1"/>
  <c r="G285" i="4"/>
  <c r="F285" i="4"/>
  <c r="G245" i="4"/>
  <c r="F245" i="4"/>
  <c r="E245" i="4"/>
  <c r="G235" i="4"/>
  <c r="F235" i="4"/>
  <c r="E235" i="4"/>
  <c r="G227" i="4"/>
  <c r="F227" i="4"/>
  <c r="E227" i="4"/>
  <c r="G221" i="4"/>
  <c r="F221" i="4"/>
  <c r="E221" i="4"/>
  <c r="AC285" i="4"/>
  <c r="T286" i="4"/>
  <c r="G301" i="1" s="1"/>
  <c r="AC272" i="4"/>
  <c r="W272" i="4"/>
  <c r="M287" i="1" s="1"/>
  <c r="AC153" i="4"/>
  <c r="W153" i="4"/>
  <c r="M156" i="1" s="1"/>
  <c r="AC152" i="4"/>
  <c r="W152" i="4"/>
  <c r="M155" i="1" s="1"/>
  <c r="AC151" i="4"/>
  <c r="W151" i="4"/>
  <c r="M154" i="1" s="1"/>
  <c r="AC147" i="4"/>
  <c r="W147" i="4"/>
  <c r="M149" i="1" s="1"/>
  <c r="AC146" i="4"/>
  <c r="W146" i="4"/>
  <c r="M148" i="1" s="1"/>
  <c r="AC139" i="4"/>
  <c r="W139" i="4"/>
  <c r="M139" i="1" s="1"/>
  <c r="AC135" i="4"/>
  <c r="W135" i="4"/>
  <c r="M134" i="1" s="1"/>
  <c r="AC134" i="4"/>
  <c r="W134" i="4"/>
  <c r="M133" i="1" s="1"/>
  <c r="AC129" i="4"/>
  <c r="W129" i="4"/>
  <c r="M128" i="1" s="1"/>
  <c r="AC128" i="4"/>
  <c r="W128" i="4"/>
  <c r="M127" i="1" s="1"/>
  <c r="AC127" i="4"/>
  <c r="W127" i="4"/>
  <c r="M126" i="1" s="1"/>
  <c r="AC126" i="4"/>
  <c r="W126" i="4"/>
  <c r="M125" i="1" s="1"/>
  <c r="AC123" i="4"/>
  <c r="W123" i="4"/>
  <c r="M122" i="1" s="1"/>
  <c r="AC122" i="4"/>
  <c r="W122" i="4"/>
  <c r="M121" i="1" s="1"/>
  <c r="M151" i="1" l="1"/>
  <c r="M135" i="1"/>
  <c r="M123" i="1"/>
  <c r="M157" i="1"/>
  <c r="M159" i="1" s="1"/>
  <c r="D143" i="4"/>
  <c r="E247" i="4"/>
  <c r="G247" i="4"/>
  <c r="F247" i="4"/>
  <c r="E229" i="4"/>
  <c r="F229" i="4"/>
  <c r="G229" i="4"/>
  <c r="W154" i="4"/>
  <c r="W124" i="4"/>
  <c r="W148" i="4"/>
  <c r="W136" i="4"/>
  <c r="D157" i="4" l="1"/>
  <c r="S18" i="4"/>
  <c r="W156" i="4"/>
  <c r="AC112" i="4" l="1"/>
  <c r="AB112" i="4"/>
  <c r="W112" i="4"/>
  <c r="V112" i="4"/>
  <c r="AC110" i="4"/>
  <c r="W110" i="4"/>
  <c r="M110" i="1" s="1"/>
  <c r="AC109" i="4"/>
  <c r="W109" i="4"/>
  <c r="M109" i="1" s="1"/>
  <c r="AC105" i="4"/>
  <c r="AC106" i="4" s="1"/>
  <c r="AB105" i="4"/>
  <c r="AB106" i="4" s="1"/>
  <c r="W105" i="4"/>
  <c r="W106" i="4" s="1"/>
  <c r="V105" i="4"/>
  <c r="V106" i="4" s="1"/>
  <c r="AC104" i="4"/>
  <c r="AB104" i="4"/>
  <c r="W104" i="4"/>
  <c r="V104" i="4"/>
  <c r="AC103" i="4"/>
  <c r="W103" i="4"/>
  <c r="M105" i="1" s="1"/>
  <c r="AC100" i="4"/>
  <c r="W100" i="4"/>
  <c r="AC99" i="4"/>
  <c r="W99" i="4"/>
  <c r="M103" i="1" s="1"/>
  <c r="AC95" i="4"/>
  <c r="AC96" i="4" s="1"/>
  <c r="AB95" i="4"/>
  <c r="AB96" i="4" s="1"/>
  <c r="W95" i="4"/>
  <c r="V95" i="4"/>
  <c r="AC94" i="4"/>
  <c r="AB94" i="4"/>
  <c r="W94" i="4"/>
  <c r="V94" i="4"/>
  <c r="AC93" i="4"/>
  <c r="W93" i="4"/>
  <c r="M99" i="1" s="1"/>
  <c r="AC89" i="4"/>
  <c r="W89" i="4"/>
  <c r="M97" i="1" s="1"/>
  <c r="AC81" i="4"/>
  <c r="AB81" i="4"/>
  <c r="W81" i="4"/>
  <c r="V81" i="4"/>
  <c r="AC43" i="4"/>
  <c r="AC39" i="4"/>
  <c r="W39" i="4"/>
  <c r="AC35" i="4"/>
  <c r="W35" i="4"/>
  <c r="W25" i="4"/>
  <c r="V25" i="4"/>
  <c r="W24" i="4"/>
  <c r="V24" i="4"/>
  <c r="W23" i="4"/>
  <c r="V23" i="4"/>
  <c r="AC25" i="4"/>
  <c r="AB25" i="4"/>
  <c r="AC24" i="4"/>
  <c r="AB24" i="4"/>
  <c r="AC23" i="4"/>
  <c r="AB23" i="4"/>
  <c r="V6" i="4"/>
  <c r="F264" i="4"/>
  <c r="E264" i="4"/>
  <c r="D80" i="4"/>
  <c r="F273" i="4"/>
  <c r="E273" i="4"/>
  <c r="D77" i="4"/>
  <c r="F64" i="4"/>
  <c r="D64" i="4"/>
  <c r="F214" i="4"/>
  <c r="E214" i="4"/>
  <c r="D62" i="4"/>
  <c r="F198" i="4"/>
  <c r="E198" i="4"/>
  <c r="D57" i="4"/>
  <c r="F185" i="4"/>
  <c r="E185" i="4"/>
  <c r="F177" i="4"/>
  <c r="E177" i="4"/>
  <c r="F170" i="4"/>
  <c r="E170" i="4"/>
  <c r="F154" i="4"/>
  <c r="E154" i="4"/>
  <c r="F148" i="4"/>
  <c r="E148" i="4"/>
  <c r="F136" i="4"/>
  <c r="E136" i="4"/>
  <c r="D43" i="4"/>
  <c r="F124" i="4"/>
  <c r="E124" i="4"/>
  <c r="F36" i="4"/>
  <c r="E36" i="4"/>
  <c r="E66" i="4"/>
  <c r="Y66" i="4" s="1"/>
  <c r="E65" i="4"/>
  <c r="Y65" i="4" s="1"/>
  <c r="E64" i="4"/>
  <c r="Y64" i="4" s="1"/>
  <c r="E63" i="4"/>
  <c r="Y63" i="4" s="1"/>
  <c r="F58" i="4"/>
  <c r="E58" i="4"/>
  <c r="Y58" i="4" s="1"/>
  <c r="D58" i="4"/>
  <c r="F56" i="4"/>
  <c r="E56" i="4"/>
  <c r="D56" i="4"/>
  <c r="F47" i="4"/>
  <c r="E47" i="4"/>
  <c r="D47" i="4"/>
  <c r="F37" i="4"/>
  <c r="E37" i="4"/>
  <c r="D37" i="4"/>
  <c r="F22" i="4"/>
  <c r="E22" i="4"/>
  <c r="M30" i="9" s="1"/>
  <c r="D22" i="4"/>
  <c r="L30" i="9" s="1"/>
  <c r="Y13" i="4"/>
  <c r="F10" i="4"/>
  <c r="E10" i="4"/>
  <c r="D10" i="4"/>
  <c r="V96" i="4" l="1"/>
  <c r="L100" i="1" s="1"/>
  <c r="W96" i="4"/>
  <c r="M100" i="1" s="1"/>
  <c r="M106" i="1"/>
  <c r="Y37" i="4"/>
  <c r="I30" i="1" s="1"/>
  <c r="Y10" i="4"/>
  <c r="Y22" i="4"/>
  <c r="I18" i="1" s="1"/>
  <c r="Y56" i="4"/>
  <c r="Y47" i="4"/>
  <c r="I40" i="1" s="1"/>
  <c r="F43" i="4"/>
  <c r="L74" i="1"/>
  <c r="F12" i="4"/>
  <c r="E43" i="4"/>
  <c r="Y43" i="4" s="1"/>
  <c r="I36" i="1" s="1"/>
  <c r="L19" i="1"/>
  <c r="M74" i="1"/>
  <c r="E74" i="4"/>
  <c r="M19" i="1"/>
  <c r="F74" i="4"/>
  <c r="L20" i="1"/>
  <c r="J110" i="1"/>
  <c r="M20" i="1"/>
  <c r="F57" i="4"/>
  <c r="L21" i="1"/>
  <c r="M21" i="1"/>
  <c r="M28" i="1"/>
  <c r="E57" i="4"/>
  <c r="Y57" i="4" s="1"/>
  <c r="E77" i="4"/>
  <c r="Y77" i="4" s="1"/>
  <c r="I70" i="1" s="1"/>
  <c r="E12" i="4"/>
  <c r="M19" i="9" s="1"/>
  <c r="M28" i="9" s="1"/>
  <c r="M35" i="9" s="1"/>
  <c r="F77" i="4"/>
  <c r="J109" i="1"/>
  <c r="M85" i="1"/>
  <c r="K85" i="1"/>
  <c r="N90" i="1"/>
  <c r="M32" i="1"/>
  <c r="L85" i="1"/>
  <c r="W6" i="4"/>
  <c r="E62" i="4"/>
  <c r="Y62" i="4" s="1"/>
  <c r="E249" i="4"/>
  <c r="F62" i="4"/>
  <c r="F249" i="4"/>
  <c r="Y148" i="4"/>
  <c r="Y136" i="4"/>
  <c r="I100" i="1"/>
  <c r="I106" i="1"/>
  <c r="Y281" i="4"/>
  <c r="Y273" i="4"/>
  <c r="G56" i="4"/>
  <c r="G170" i="4"/>
  <c r="Y154" i="4"/>
  <c r="G47" i="4"/>
  <c r="G37" i="4"/>
  <c r="Y124" i="4"/>
  <c r="G148" i="4"/>
  <c r="F156" i="4"/>
  <c r="G154" i="4"/>
  <c r="F132" i="4"/>
  <c r="E156" i="4"/>
  <c r="D55" i="4"/>
  <c r="G273" i="4"/>
  <c r="G124" i="4"/>
  <c r="G214" i="4"/>
  <c r="F66" i="4"/>
  <c r="E132" i="4"/>
  <c r="G63" i="4"/>
  <c r="G65" i="4"/>
  <c r="G185" i="4"/>
  <c r="D66" i="4"/>
  <c r="G22" i="4"/>
  <c r="G177" i="4"/>
  <c r="E281" i="4"/>
  <c r="F281" i="4"/>
  <c r="G198" i="4"/>
  <c r="E187" i="4"/>
  <c r="G136" i="4"/>
  <c r="F187" i="4"/>
  <c r="G281" i="4"/>
  <c r="D45" i="4"/>
  <c r="G64" i="4"/>
  <c r="F65" i="4"/>
  <c r="D63" i="4"/>
  <c r="D36" i="4"/>
  <c r="Y36" i="4" s="1"/>
  <c r="I29" i="1" s="1"/>
  <c r="F63" i="4"/>
  <c r="G58" i="4"/>
  <c r="T280" i="4"/>
  <c r="G295" i="1" s="1"/>
  <c r="T277" i="4"/>
  <c r="G292" i="1" s="1"/>
  <c r="T271" i="4"/>
  <c r="G286" i="1" s="1"/>
  <c r="T270" i="4"/>
  <c r="G285" i="1" s="1"/>
  <c r="T269" i="4"/>
  <c r="G284" i="1" s="1"/>
  <c r="T262" i="4"/>
  <c r="G277" i="1" s="1"/>
  <c r="T261" i="4"/>
  <c r="G276" i="1" s="1"/>
  <c r="T257" i="4"/>
  <c r="G271" i="1" s="1"/>
  <c r="T256" i="4"/>
  <c r="G270" i="1" s="1"/>
  <c r="T278" i="4"/>
  <c r="G293" i="1" s="1"/>
  <c r="T276" i="4"/>
  <c r="G291" i="1" s="1"/>
  <c r="I7" i="1" l="1"/>
  <c r="E80" i="4"/>
  <c r="Y80" i="4" s="1"/>
  <c r="I73" i="1" s="1"/>
  <c r="Y264" i="4"/>
  <c r="G80" i="4"/>
  <c r="F55" i="4"/>
  <c r="E41" i="4"/>
  <c r="E55" i="4"/>
  <c r="Y55" i="4" s="1"/>
  <c r="E68" i="4"/>
  <c r="G43" i="4"/>
  <c r="G57" i="4"/>
  <c r="G300" i="4"/>
  <c r="G40" i="4" s="1"/>
  <c r="F80" i="4"/>
  <c r="G77" i="4"/>
  <c r="D60" i="4"/>
  <c r="F41" i="4"/>
  <c r="D49" i="4"/>
  <c r="Y221" i="4"/>
  <c r="D300" i="4"/>
  <c r="D40" i="4" s="1"/>
  <c r="Y214" i="4"/>
  <c r="Y235" i="4"/>
  <c r="Y227" i="4"/>
  <c r="Y177" i="4"/>
  <c r="Y185" i="4"/>
  <c r="Y170" i="4"/>
  <c r="Y198" i="4"/>
  <c r="F68" i="4"/>
  <c r="Y156" i="4"/>
  <c r="G62" i="4"/>
  <c r="G249" i="4"/>
  <c r="AC277" i="4"/>
  <c r="W277" i="4"/>
  <c r="M292" i="1" s="1"/>
  <c r="AC286" i="4"/>
  <c r="W286" i="4"/>
  <c r="M301" i="1" s="1"/>
  <c r="D12" i="4"/>
  <c r="L19" i="9" s="1"/>
  <c r="L28" i="9" s="1"/>
  <c r="L35" i="9" s="1"/>
  <c r="AC271" i="4"/>
  <c r="W271" i="4"/>
  <c r="M286" i="1" s="1"/>
  <c r="AC278" i="4"/>
  <c r="W278" i="4"/>
  <c r="M293" i="1" s="1"/>
  <c r="W276" i="4"/>
  <c r="M291" i="1" s="1"/>
  <c r="AC276" i="4"/>
  <c r="AC211" i="4"/>
  <c r="AC196" i="4"/>
  <c r="AC193" i="4"/>
  <c r="AC190" i="4"/>
  <c r="AC182" i="4"/>
  <c r="AC239" i="4"/>
  <c r="AC225" i="4"/>
  <c r="AC219" i="4"/>
  <c r="AC175" i="4"/>
  <c r="AC169" i="4"/>
  <c r="AC213" i="4"/>
  <c r="AC210" i="4"/>
  <c r="AC195" i="4"/>
  <c r="AC192" i="4"/>
  <c r="AC184" i="4"/>
  <c r="AC179" i="4"/>
  <c r="AC173" i="4"/>
  <c r="AC244" i="4"/>
  <c r="AC241" i="4"/>
  <c r="AC238" i="4"/>
  <c r="AC232" i="4"/>
  <c r="AC224" i="4"/>
  <c r="AC174" i="4"/>
  <c r="AC226" i="4"/>
  <c r="AC176" i="4"/>
  <c r="AC212" i="4"/>
  <c r="AC197" i="4"/>
  <c r="AC194" i="4"/>
  <c r="AC191" i="4"/>
  <c r="AC183" i="4"/>
  <c r="AC243" i="4"/>
  <c r="AC240" i="4"/>
  <c r="AC234" i="4"/>
  <c r="AC220" i="4"/>
  <c r="W256" i="4"/>
  <c r="M270" i="1" s="1"/>
  <c r="AC256" i="4"/>
  <c r="AC257" i="4"/>
  <c r="W257" i="4"/>
  <c r="M271" i="1" s="1"/>
  <c r="W262" i="4"/>
  <c r="M277" i="1" s="1"/>
  <c r="AC262" i="4"/>
  <c r="AC280" i="4"/>
  <c r="W280" i="4"/>
  <c r="M295" i="1" s="1"/>
  <c r="AC261" i="4"/>
  <c r="W261" i="4"/>
  <c r="M276" i="1" s="1"/>
  <c r="AC269" i="4"/>
  <c r="W269" i="4"/>
  <c r="M284" i="1" s="1"/>
  <c r="G36" i="4"/>
  <c r="W270" i="4"/>
  <c r="M285" i="1" s="1"/>
  <c r="AC270" i="4"/>
  <c r="G66" i="4"/>
  <c r="Y132" i="4"/>
  <c r="Y41" i="4" s="1"/>
  <c r="I34" i="1" s="1"/>
  <c r="I38" i="1" s="1"/>
  <c r="I42" i="1" s="1"/>
  <c r="G10" i="4"/>
  <c r="G156" i="4"/>
  <c r="E138" i="4"/>
  <c r="F138" i="4"/>
  <c r="G132" i="4"/>
  <c r="F200" i="4"/>
  <c r="G187" i="4"/>
  <c r="E200" i="4"/>
  <c r="D65" i="4"/>
  <c r="D74" i="4"/>
  <c r="Y74" i="4" s="1"/>
  <c r="I67" i="1" s="1"/>
  <c r="G264" i="4"/>
  <c r="M288" i="1" l="1"/>
  <c r="Y12" i="4"/>
  <c r="I8" i="1" s="1"/>
  <c r="F300" i="4"/>
  <c r="F40" i="4" s="1"/>
  <c r="G55" i="4"/>
  <c r="G60" i="4" s="1"/>
  <c r="Y229" i="4"/>
  <c r="E60" i="4"/>
  <c r="D68" i="4"/>
  <c r="F45" i="4"/>
  <c r="Y245" i="4"/>
  <c r="G12" i="4"/>
  <c r="E300" i="4"/>
  <c r="E40" i="4" s="1"/>
  <c r="Y40" i="4" s="1"/>
  <c r="I33" i="1" s="1"/>
  <c r="E45" i="4"/>
  <c r="G41" i="4"/>
  <c r="G45" i="4" s="1"/>
  <c r="F258" i="4"/>
  <c r="F266" i="4" s="1"/>
  <c r="E258" i="4"/>
  <c r="E73" i="4" s="1"/>
  <c r="F60" i="4"/>
  <c r="G74" i="4"/>
  <c r="Y187" i="4"/>
  <c r="AC170" i="4"/>
  <c r="Y138" i="4"/>
  <c r="G68" i="4"/>
  <c r="AC198" i="4"/>
  <c r="AC177" i="4"/>
  <c r="AC185" i="4"/>
  <c r="W273" i="4"/>
  <c r="AC214" i="4"/>
  <c r="AC227" i="4"/>
  <c r="E140" i="4"/>
  <c r="E143" i="4" s="1"/>
  <c r="S143" i="4" s="1"/>
  <c r="F140" i="4"/>
  <c r="G200" i="4"/>
  <c r="G138" i="4"/>
  <c r="Y300" i="4" l="1"/>
  <c r="I308" i="1"/>
  <c r="F73" i="4"/>
  <c r="F75" i="4" s="1"/>
  <c r="E266" i="4"/>
  <c r="M4" i="9" s="1"/>
  <c r="M6" i="9" s="1"/>
  <c r="M11" i="9" s="1"/>
  <c r="Y45" i="4"/>
  <c r="G49" i="4"/>
  <c r="Y60" i="4"/>
  <c r="E75" i="4"/>
  <c r="E157" i="4"/>
  <c r="Y68" i="4"/>
  <c r="F157" i="4"/>
  <c r="F283" i="4"/>
  <c r="E49" i="4"/>
  <c r="G258" i="4"/>
  <c r="Y200" i="4"/>
  <c r="F49" i="4"/>
  <c r="Y247" i="4"/>
  <c r="Y140" i="4"/>
  <c r="AC187" i="4"/>
  <c r="D73" i="4"/>
  <c r="Y73" i="4" s="1"/>
  <c r="I66" i="1" s="1"/>
  <c r="G140" i="4"/>
  <c r="E283" i="4" l="1"/>
  <c r="Y249" i="4"/>
  <c r="E78" i="4"/>
  <c r="G73" i="4"/>
  <c r="G75" i="4" s="1"/>
  <c r="G157" i="4"/>
  <c r="Y258" i="4"/>
  <c r="G266" i="4"/>
  <c r="D75" i="4"/>
  <c r="F78" i="4"/>
  <c r="Y143" i="4"/>
  <c r="Y157" i="4" s="1"/>
  <c r="Y49" i="4"/>
  <c r="AC200" i="4"/>
  <c r="F287" i="4"/>
  <c r="D78" i="4" l="1"/>
  <c r="Y78" i="4" s="1"/>
  <c r="Y75" i="4"/>
  <c r="I68" i="1" s="1"/>
  <c r="G78" i="4"/>
  <c r="G283" i="4"/>
  <c r="Y266" i="4"/>
  <c r="E82" i="4"/>
  <c r="F82" i="4"/>
  <c r="Y27" i="4" l="1"/>
  <c r="I23" i="1" s="1"/>
  <c r="S27" i="4"/>
  <c r="F23" i="1" s="1"/>
  <c r="Y82" i="4"/>
  <c r="I75" i="1" s="1"/>
  <c r="I71" i="1"/>
  <c r="D82" i="4"/>
  <c r="Y283" i="4"/>
  <c r="G82" i="4"/>
  <c r="AC130" i="4"/>
  <c r="W130" i="4"/>
  <c r="M129" i="1" s="1"/>
  <c r="AC131" i="4"/>
  <c r="W131" i="4"/>
  <c r="M130" i="1" s="1"/>
  <c r="G287" i="4"/>
  <c r="M131" i="1" l="1"/>
  <c r="M137" i="1" s="1"/>
  <c r="M140" i="1" s="1"/>
  <c r="M145" i="1" s="1"/>
  <c r="M161" i="1" s="1"/>
  <c r="W132" i="4"/>
  <c r="I22" i="4"/>
  <c r="H30" i="9" s="1"/>
  <c r="J22" i="4"/>
  <c r="I30" i="9" s="1"/>
  <c r="K22" i="4"/>
  <c r="J30" i="9" s="1"/>
  <c r="N22" i="4"/>
  <c r="D30" i="9" s="1"/>
  <c r="O22" i="4"/>
  <c r="E30" i="9" s="1"/>
  <c r="P22" i="4"/>
  <c r="F30" i="9" s="1"/>
  <c r="Q22" i="4"/>
  <c r="G30" i="9" s="1"/>
  <c r="Z22" i="4" l="1"/>
  <c r="J18" i="1" s="1"/>
  <c r="W138" i="4"/>
  <c r="AC22" i="4"/>
  <c r="W22" i="4"/>
  <c r="S279" i="4"/>
  <c r="F294" i="1" s="1"/>
  <c r="I111" i="4"/>
  <c r="J111" i="4"/>
  <c r="K111" i="4"/>
  <c r="N111" i="4"/>
  <c r="O111" i="4"/>
  <c r="Q111" i="4"/>
  <c r="P111" i="4"/>
  <c r="Q47" i="4"/>
  <c r="P47" i="4"/>
  <c r="O47" i="4"/>
  <c r="N47" i="4"/>
  <c r="K47" i="4"/>
  <c r="J47" i="4"/>
  <c r="I47" i="4"/>
  <c r="Z47" i="4" l="1"/>
  <c r="J40" i="1" s="1"/>
  <c r="Z111" i="4"/>
  <c r="P36" i="4"/>
  <c r="M18" i="1"/>
  <c r="Q36" i="4"/>
  <c r="O36" i="4"/>
  <c r="W140" i="4"/>
  <c r="N36" i="4"/>
  <c r="AC111" i="4"/>
  <c r="W111" i="4"/>
  <c r="M111" i="1" s="1"/>
  <c r="V279" i="4"/>
  <c r="L294" i="1" s="1"/>
  <c r="W47" i="4"/>
  <c r="AC47" i="4"/>
  <c r="L111" i="4"/>
  <c r="L103" i="4"/>
  <c r="K36" i="4"/>
  <c r="J36" i="4"/>
  <c r="I36" i="4"/>
  <c r="L110" i="4"/>
  <c r="L11" i="4" s="1"/>
  <c r="L99" i="4"/>
  <c r="L93" i="4"/>
  <c r="L89" i="4"/>
  <c r="AC217" i="4"/>
  <c r="AB11" i="4" l="1"/>
  <c r="V11" i="4"/>
  <c r="Z36" i="4"/>
  <c r="J29" i="1" s="1"/>
  <c r="AC36" i="4"/>
  <c r="W36" i="4"/>
  <c r="J111" i="1"/>
  <c r="M40" i="1"/>
  <c r="W143" i="4"/>
  <c r="S263" i="4"/>
  <c r="F278" i="1" s="1"/>
  <c r="AB217" i="4"/>
  <c r="I224" i="1" s="1"/>
  <c r="S217" i="4"/>
  <c r="AB100" i="4"/>
  <c r="V100" i="4"/>
  <c r="AB99" i="4"/>
  <c r="V99" i="4"/>
  <c r="L103" i="1" s="1"/>
  <c r="V89" i="4"/>
  <c r="L97" i="1" s="1"/>
  <c r="AB89" i="4"/>
  <c r="AB263" i="4"/>
  <c r="AB111" i="4"/>
  <c r="V111" i="4"/>
  <c r="L111" i="1" s="1"/>
  <c r="V93" i="4"/>
  <c r="L99" i="1" s="1"/>
  <c r="AB93" i="4"/>
  <c r="V103" i="4"/>
  <c r="L105" i="1" s="1"/>
  <c r="AB103" i="4"/>
  <c r="AB110" i="4"/>
  <c r="V110" i="4"/>
  <c r="L110" i="1" s="1"/>
  <c r="S280" i="4"/>
  <c r="F295" i="1" s="1"/>
  <c r="L106" i="1" l="1"/>
  <c r="I111" i="1"/>
  <c r="M29" i="1"/>
  <c r="I110" i="1"/>
  <c r="W157" i="4"/>
  <c r="G85" i="1"/>
  <c r="F85" i="1"/>
  <c r="V263" i="4"/>
  <c r="L278" i="1" s="1"/>
  <c r="AB233" i="4"/>
  <c r="I240" i="1" s="1"/>
  <c r="S233" i="4"/>
  <c r="AB218" i="4"/>
  <c r="I225" i="1" s="1"/>
  <c r="S218" i="4"/>
  <c r="AC218" i="4"/>
  <c r="T218" i="4"/>
  <c r="AC233" i="4"/>
  <c r="T233" i="4"/>
  <c r="T279" i="4"/>
  <c r="G294" i="1" s="1"/>
  <c r="O16" i="4"/>
  <c r="N16" i="4"/>
  <c r="I242" i="4"/>
  <c r="P16" i="4"/>
  <c r="Q16" i="4"/>
  <c r="J242" i="4"/>
  <c r="K242" i="4"/>
  <c r="J245" i="4" l="1"/>
  <c r="J247" i="4" s="1"/>
  <c r="Z242" i="4"/>
  <c r="K16" i="4"/>
  <c r="J16" i="4"/>
  <c r="AC16" i="4"/>
  <c r="AC235" i="4"/>
  <c r="AC221" i="4"/>
  <c r="I16" i="4"/>
  <c r="AC242" i="4"/>
  <c r="T242" i="4"/>
  <c r="W279" i="4"/>
  <c r="M294" i="1" s="1"/>
  <c r="M296" i="1" s="1"/>
  <c r="Z245" i="4" l="1"/>
  <c r="Z247" i="4" s="1"/>
  <c r="Z249" i="4" s="1"/>
  <c r="G249" i="1"/>
  <c r="Z16" i="4"/>
  <c r="AC18" i="4"/>
  <c r="T18" i="4"/>
  <c r="AB18" i="4"/>
  <c r="AC229" i="4"/>
  <c r="T16" i="4"/>
  <c r="W281" i="4"/>
  <c r="AC245" i="4"/>
  <c r="Q37" i="4"/>
  <c r="P37" i="4"/>
  <c r="O37" i="4"/>
  <c r="N37" i="4"/>
  <c r="K37" i="4"/>
  <c r="J37" i="4"/>
  <c r="I37" i="4"/>
  <c r="Z37" i="4" s="1"/>
  <c r="J30" i="1" s="1"/>
  <c r="AB19" i="4" l="1"/>
  <c r="AC19" i="4"/>
  <c r="W16" i="4"/>
  <c r="AC247" i="4"/>
  <c r="V129" i="4"/>
  <c r="L128" i="1" s="1"/>
  <c r="AB129" i="4"/>
  <c r="W37" i="4"/>
  <c r="AC37" i="4"/>
  <c r="L37" i="4"/>
  <c r="L38" i="4"/>
  <c r="L39" i="4"/>
  <c r="G12" i="1" l="1"/>
  <c r="AB37" i="4"/>
  <c r="AC249" i="4"/>
  <c r="N88" i="1"/>
  <c r="M30" i="1"/>
  <c r="V37" i="4"/>
  <c r="V39" i="4"/>
  <c r="AB39" i="4"/>
  <c r="AB38" i="4"/>
  <c r="V38" i="4"/>
  <c r="J314" i="1"/>
  <c r="J308" i="1" l="1"/>
  <c r="J309" i="1"/>
  <c r="J310" i="1"/>
  <c r="J311" i="1"/>
  <c r="J312" i="1"/>
  <c r="J313" i="1"/>
  <c r="F314" i="1"/>
  <c r="G308" i="1"/>
  <c r="G309" i="1"/>
  <c r="G314" i="1"/>
  <c r="F311" i="1"/>
  <c r="F312" i="1"/>
  <c r="F310" i="1"/>
  <c r="G311" i="1"/>
  <c r="F313" i="1"/>
  <c r="G312" i="1"/>
  <c r="G310" i="1"/>
  <c r="G313" i="1"/>
  <c r="L32" i="1"/>
  <c r="I90" i="1"/>
  <c r="L30" i="1"/>
  <c r="I88" i="1"/>
  <c r="I89" i="1"/>
  <c r="L31" i="1"/>
  <c r="M314" i="1"/>
  <c r="M312" i="1"/>
  <c r="M313" i="1"/>
  <c r="L311" i="1"/>
  <c r="M309" i="1"/>
  <c r="M310" i="1"/>
  <c r="L310" i="1"/>
  <c r="M311" i="1"/>
  <c r="L312" i="1"/>
  <c r="L313" i="1"/>
  <c r="M308" i="1"/>
  <c r="L314" i="1"/>
  <c r="K300" i="4"/>
  <c r="K40" i="4" s="1"/>
  <c r="J300" i="4"/>
  <c r="J40" i="4" s="1"/>
  <c r="I300" i="4"/>
  <c r="I40" i="4" s="1"/>
  <c r="M315" i="1" l="1"/>
  <c r="Z300" i="4"/>
  <c r="W300" i="4"/>
  <c r="J315" i="1" l="1"/>
  <c r="G315" i="1"/>
  <c r="F308" i="1" l="1"/>
  <c r="L308" i="1"/>
  <c r="F309" i="1" l="1"/>
  <c r="L309" i="1"/>
  <c r="L300" i="4"/>
  <c r="L40" i="4" s="1"/>
  <c r="AB300" i="4" l="1"/>
  <c r="L315" i="1"/>
  <c r="V300" i="4"/>
  <c r="I315" i="1"/>
  <c r="AB130" i="4" l="1"/>
  <c r="V130" i="4"/>
  <c r="L129" i="1" s="1"/>
  <c r="V218" i="4"/>
  <c r="V233" i="4"/>
  <c r="S300" i="4"/>
  <c r="M63" i="1" l="1"/>
  <c r="L63" i="1"/>
  <c r="G63" i="1"/>
  <c r="F63" i="1"/>
  <c r="L109" i="4"/>
  <c r="K58" i="4"/>
  <c r="J58" i="4"/>
  <c r="Z58" i="4" s="1"/>
  <c r="I56" i="4"/>
  <c r="J56" i="4"/>
  <c r="K56" i="4"/>
  <c r="S286" i="4"/>
  <c r="F301" i="1" s="1"/>
  <c r="S278" i="4"/>
  <c r="F293" i="1" s="1"/>
  <c r="S277" i="4"/>
  <c r="F292" i="1" s="1"/>
  <c r="S262" i="4"/>
  <c r="F277" i="1" s="1"/>
  <c r="S261" i="4"/>
  <c r="F276" i="1" s="1"/>
  <c r="S257" i="4"/>
  <c r="F271" i="1" s="1"/>
  <c r="S256" i="4"/>
  <c r="F270" i="1" s="1"/>
  <c r="S270" i="4"/>
  <c r="F285" i="1" s="1"/>
  <c r="S269" i="4"/>
  <c r="F284" i="1" s="1"/>
  <c r="S272" i="4"/>
  <c r="F287" i="1" s="1"/>
  <c r="S271" i="4"/>
  <c r="F286" i="1" s="1"/>
  <c r="AB242" i="4"/>
  <c r="I249" i="1" s="1"/>
  <c r="Z56" i="4" l="1"/>
  <c r="L16" i="4"/>
  <c r="L35" i="4"/>
  <c r="AB193" i="4"/>
  <c r="I200" i="1" s="1"/>
  <c r="S193" i="4"/>
  <c r="AB174" i="4"/>
  <c r="I181" i="1" s="1"/>
  <c r="S174" i="4"/>
  <c r="AB195" i="4"/>
  <c r="I202" i="1" s="1"/>
  <c r="S195" i="4"/>
  <c r="AB240" i="4"/>
  <c r="I247" i="1" s="1"/>
  <c r="S240" i="4"/>
  <c r="AB194" i="4"/>
  <c r="I201" i="1" s="1"/>
  <c r="S194" i="4"/>
  <c r="AB239" i="4"/>
  <c r="I246" i="1" s="1"/>
  <c r="S239" i="4"/>
  <c r="AB176" i="4"/>
  <c r="I183" i="1" s="1"/>
  <c r="S176" i="4"/>
  <c r="AB219" i="4"/>
  <c r="I226" i="1" s="1"/>
  <c r="S219" i="4"/>
  <c r="AB244" i="4"/>
  <c r="I251" i="1" s="1"/>
  <c r="S244" i="4"/>
  <c r="AB232" i="4"/>
  <c r="I239" i="1" s="1"/>
  <c r="S232" i="4"/>
  <c r="AB169" i="4"/>
  <c r="S169" i="4"/>
  <c r="AB238" i="4"/>
  <c r="I245" i="1" s="1"/>
  <c r="S238" i="4"/>
  <c r="AB173" i="4"/>
  <c r="I180" i="1" s="1"/>
  <c r="S173" i="4"/>
  <c r="AB182" i="4"/>
  <c r="I189" i="1" s="1"/>
  <c r="S182" i="4"/>
  <c r="AB220" i="4"/>
  <c r="I227" i="1" s="1"/>
  <c r="S220" i="4"/>
  <c r="AB210" i="4"/>
  <c r="I217" i="1" s="1"/>
  <c r="S210" i="4"/>
  <c r="AB175" i="4"/>
  <c r="I182" i="1" s="1"/>
  <c r="S175" i="4"/>
  <c r="AB196" i="4"/>
  <c r="I203" i="1" s="1"/>
  <c r="S196" i="4"/>
  <c r="AB241" i="4"/>
  <c r="I248" i="1" s="1"/>
  <c r="S241" i="4"/>
  <c r="AB197" i="4"/>
  <c r="I204" i="1" s="1"/>
  <c r="S197" i="4"/>
  <c r="AB179" i="4"/>
  <c r="I186" i="1" s="1"/>
  <c r="S179" i="4"/>
  <c r="AB183" i="4"/>
  <c r="I190" i="1" s="1"/>
  <c r="S183" i="4"/>
  <c r="AB184" i="4"/>
  <c r="I191" i="1" s="1"/>
  <c r="S184" i="4"/>
  <c r="AB225" i="4"/>
  <c r="I232" i="1" s="1"/>
  <c r="S225" i="4"/>
  <c r="AB212" i="4"/>
  <c r="I219" i="1" s="1"/>
  <c r="S212" i="4"/>
  <c r="AB192" i="4"/>
  <c r="I199" i="1" s="1"/>
  <c r="S192" i="4"/>
  <c r="AB224" i="4"/>
  <c r="I231" i="1" s="1"/>
  <c r="S224" i="4"/>
  <c r="AB211" i="4"/>
  <c r="I218" i="1" s="1"/>
  <c r="S211" i="4"/>
  <c r="AB226" i="4"/>
  <c r="I233" i="1" s="1"/>
  <c r="S226" i="4"/>
  <c r="AB213" i="4"/>
  <c r="I220" i="1" s="1"/>
  <c r="S213" i="4"/>
  <c r="AB243" i="4"/>
  <c r="I250" i="1" s="1"/>
  <c r="S243" i="4"/>
  <c r="AB190" i="4"/>
  <c r="I197" i="1" s="1"/>
  <c r="S190" i="4"/>
  <c r="AB191" i="4"/>
  <c r="I198" i="1" s="1"/>
  <c r="S191" i="4"/>
  <c r="AB234" i="4"/>
  <c r="I241" i="1" s="1"/>
  <c r="S234" i="4"/>
  <c r="AB261" i="4"/>
  <c r="V261" i="4"/>
  <c r="L276" i="1" s="1"/>
  <c r="V256" i="4"/>
  <c r="L270" i="1" s="1"/>
  <c r="AB256" i="4"/>
  <c r="V262" i="4"/>
  <c r="L277" i="1" s="1"/>
  <c r="AB262" i="4"/>
  <c r="AB109" i="4"/>
  <c r="V109" i="4"/>
  <c r="L109" i="1" s="1"/>
  <c r="AB128" i="4"/>
  <c r="V128" i="4"/>
  <c r="L127" i="1" s="1"/>
  <c r="V122" i="4"/>
  <c r="L121" i="1" s="1"/>
  <c r="AB122" i="4"/>
  <c r="V276" i="4"/>
  <c r="L291" i="1" s="1"/>
  <c r="AB276" i="4"/>
  <c r="V270" i="4"/>
  <c r="L285" i="1" s="1"/>
  <c r="AB270" i="4"/>
  <c r="V126" i="4"/>
  <c r="L125" i="1" s="1"/>
  <c r="AB126" i="4"/>
  <c r="AB127" i="4"/>
  <c r="V127" i="4"/>
  <c r="L126" i="1" s="1"/>
  <c r="AB277" i="4"/>
  <c r="V277" i="4"/>
  <c r="L292" i="1" s="1"/>
  <c r="AB135" i="4"/>
  <c r="V135" i="4"/>
  <c r="L134" i="1" s="1"/>
  <c r="AB278" i="4"/>
  <c r="V278" i="4"/>
  <c r="L293" i="1" s="1"/>
  <c r="AB257" i="4"/>
  <c r="V257" i="4"/>
  <c r="L271" i="1" s="1"/>
  <c r="V123" i="4"/>
  <c r="L122" i="1" s="1"/>
  <c r="AB123" i="4"/>
  <c r="AB280" i="4"/>
  <c r="V280" i="4"/>
  <c r="L295" i="1" s="1"/>
  <c r="AB131" i="4"/>
  <c r="V131" i="4"/>
  <c r="L130" i="1" s="1"/>
  <c r="AB146" i="4"/>
  <c r="V146" i="4"/>
  <c r="L148" i="1" s="1"/>
  <c r="AB151" i="4"/>
  <c r="V151" i="4"/>
  <c r="L154" i="1" s="1"/>
  <c r="AB147" i="4"/>
  <c r="V147" i="4"/>
  <c r="L149" i="1" s="1"/>
  <c r="AB152" i="4"/>
  <c r="V152" i="4"/>
  <c r="L155" i="1" s="1"/>
  <c r="AB271" i="4"/>
  <c r="V271" i="4"/>
  <c r="L286" i="1" s="1"/>
  <c r="AB286" i="4"/>
  <c r="V286" i="4"/>
  <c r="L301" i="1" s="1"/>
  <c r="AB272" i="4"/>
  <c r="V272" i="4"/>
  <c r="L287" i="1" s="1"/>
  <c r="V153" i="4"/>
  <c r="L156" i="1" s="1"/>
  <c r="AB153" i="4"/>
  <c r="V139" i="4"/>
  <c r="L139" i="1" s="1"/>
  <c r="AB139" i="4"/>
  <c r="V134" i="4"/>
  <c r="L133" i="1" s="1"/>
  <c r="AB134" i="4"/>
  <c r="AB269" i="4"/>
  <c r="V269" i="4"/>
  <c r="L284" i="1" s="1"/>
  <c r="S103" i="4"/>
  <c r="S38" i="4"/>
  <c r="S109" i="4"/>
  <c r="S23" i="4"/>
  <c r="S94" i="4"/>
  <c r="S112" i="4"/>
  <c r="S110" i="4"/>
  <c r="S105" i="4"/>
  <c r="S106" i="4" s="1"/>
  <c r="S111" i="4"/>
  <c r="S89" i="4"/>
  <c r="S24" i="4"/>
  <c r="S81" i="4"/>
  <c r="S95" i="4"/>
  <c r="S96" i="4" s="1"/>
  <c r="S40" i="4"/>
  <c r="S99" i="4"/>
  <c r="S104" i="4"/>
  <c r="S39" i="4"/>
  <c r="S100" i="4"/>
  <c r="S37" i="4"/>
  <c r="S93" i="4"/>
  <c r="S25" i="4"/>
  <c r="S19" i="4"/>
  <c r="V18" i="4"/>
  <c r="L47" i="4"/>
  <c r="L22" i="4"/>
  <c r="K30" i="9" s="1"/>
  <c r="W169" i="4"/>
  <c r="L58" i="4"/>
  <c r="S35" i="4"/>
  <c r="L56" i="4"/>
  <c r="F92" i="1"/>
  <c r="G92" i="1"/>
  <c r="AB170" i="4" l="1"/>
  <c r="I176" i="1"/>
  <c r="S47" i="4"/>
  <c r="V19" i="4"/>
  <c r="F110" i="1"/>
  <c r="AB56" i="4"/>
  <c r="I48" i="1" s="1"/>
  <c r="F28" i="1"/>
  <c r="F32" i="1"/>
  <c r="AB58" i="4"/>
  <c r="I50" i="1" s="1"/>
  <c r="F19" i="1"/>
  <c r="F30" i="1"/>
  <c r="W170" i="4"/>
  <c r="F103" i="1"/>
  <c r="F109" i="1"/>
  <c r="F33" i="1"/>
  <c r="F31" i="1"/>
  <c r="AB16" i="4"/>
  <c r="F105" i="1"/>
  <c r="F14" i="1"/>
  <c r="F74" i="1"/>
  <c r="F21" i="1"/>
  <c r="F97" i="1"/>
  <c r="AB177" i="4"/>
  <c r="F20" i="1"/>
  <c r="F99" i="1"/>
  <c r="AB198" i="4"/>
  <c r="AB245" i="4"/>
  <c r="AB227" i="4"/>
  <c r="AB185" i="4"/>
  <c r="V169" i="4"/>
  <c r="AB235" i="4"/>
  <c r="H85" i="1"/>
  <c r="I109" i="1"/>
  <c r="AB221" i="4"/>
  <c r="AB214" i="4"/>
  <c r="AB136" i="4"/>
  <c r="AC300" i="4"/>
  <c r="W175" i="4"/>
  <c r="W195" i="4"/>
  <c r="W182" i="4"/>
  <c r="AB22" i="4"/>
  <c r="V22" i="4"/>
  <c r="W173" i="4"/>
  <c r="W234" i="4"/>
  <c r="S22" i="4"/>
  <c r="V183" i="4"/>
  <c r="W211" i="4"/>
  <c r="V195" i="4"/>
  <c r="V219" i="4"/>
  <c r="W240" i="4"/>
  <c r="W174" i="4"/>
  <c r="W219" i="4"/>
  <c r="W239" i="4"/>
  <c r="V217" i="4"/>
  <c r="V47" i="4"/>
  <c r="AB47" i="4"/>
  <c r="V154" i="4"/>
  <c r="V210" i="4"/>
  <c r="V190" i="4"/>
  <c r="V196" i="4"/>
  <c r="V226" i="4"/>
  <c r="V175" i="4"/>
  <c r="V174" i="4"/>
  <c r="V191" i="4"/>
  <c r="V182" i="4"/>
  <c r="W179" i="4"/>
  <c r="W224" i="4"/>
  <c r="W190" i="4"/>
  <c r="S58" i="4"/>
  <c r="V273" i="4"/>
  <c r="AB154" i="4"/>
  <c r="W191" i="4"/>
  <c r="W184" i="4"/>
  <c r="W243" i="4"/>
  <c r="W193" i="4"/>
  <c r="AB273" i="4"/>
  <c r="V148" i="4"/>
  <c r="AB281" i="4"/>
  <c r="W176" i="4"/>
  <c r="V176" i="4"/>
  <c r="V239" i="4"/>
  <c r="V213" i="4"/>
  <c r="V244" i="4"/>
  <c r="V238" i="4"/>
  <c r="V194" i="4"/>
  <c r="V242" i="4"/>
  <c r="W194" i="4"/>
  <c r="W233" i="4"/>
  <c r="W183" i="4"/>
  <c r="W196" i="4"/>
  <c r="AB148" i="4"/>
  <c r="V281" i="4"/>
  <c r="V212" i="4"/>
  <c r="V243" i="4"/>
  <c r="W197" i="4"/>
  <c r="W238" i="4"/>
  <c r="W212" i="4"/>
  <c r="S56" i="4"/>
  <c r="V136" i="4"/>
  <c r="V240" i="4"/>
  <c r="V173" i="4"/>
  <c r="V234" i="4"/>
  <c r="V192" i="4"/>
  <c r="AB35" i="4"/>
  <c r="V35" i="4"/>
  <c r="V179" i="4"/>
  <c r="W210" i="4"/>
  <c r="W241" i="4"/>
  <c r="W217" i="4"/>
  <c r="AB124" i="4"/>
  <c r="V264" i="4"/>
  <c r="V224" i="4"/>
  <c r="V225" i="4"/>
  <c r="V193" i="4"/>
  <c r="V241" i="4"/>
  <c r="W213" i="4"/>
  <c r="W244" i="4"/>
  <c r="W232" i="4"/>
  <c r="W220" i="4"/>
  <c r="V124" i="4"/>
  <c r="AB264" i="4"/>
  <c r="V211" i="4"/>
  <c r="W192" i="4"/>
  <c r="V184" i="4"/>
  <c r="V232" i="4"/>
  <c r="V220" i="4"/>
  <c r="V197" i="4"/>
  <c r="W226" i="4"/>
  <c r="W225" i="4"/>
  <c r="AC281" i="4"/>
  <c r="AC273" i="4"/>
  <c r="AC148" i="4"/>
  <c r="AC136" i="4"/>
  <c r="AC154" i="4"/>
  <c r="AC124" i="4"/>
  <c r="T111" i="4"/>
  <c r="T89" i="4"/>
  <c r="T24" i="4"/>
  <c r="T94" i="4"/>
  <c r="T22" i="4"/>
  <c r="T100" i="4"/>
  <c r="T47" i="4"/>
  <c r="T35" i="4"/>
  <c r="T105" i="4"/>
  <c r="T106" i="4" s="1"/>
  <c r="T25" i="4"/>
  <c r="T99" i="4"/>
  <c r="T36" i="4"/>
  <c r="T104" i="4"/>
  <c r="T39" i="4"/>
  <c r="T37" i="4"/>
  <c r="T110" i="4"/>
  <c r="T103" i="4"/>
  <c r="T109" i="4"/>
  <c r="T81" i="4"/>
  <c r="T23" i="4"/>
  <c r="T112" i="4"/>
  <c r="T95" i="4"/>
  <c r="T96" i="4" s="1"/>
  <c r="T93" i="4"/>
  <c r="T19" i="4"/>
  <c r="W18" i="4"/>
  <c r="F135" i="1"/>
  <c r="F151" i="1"/>
  <c r="T170" i="4"/>
  <c r="S170" i="4"/>
  <c r="F157" i="1"/>
  <c r="F123" i="1"/>
  <c r="F131" i="1" s="1"/>
  <c r="F288" i="1"/>
  <c r="G288" i="1"/>
  <c r="G151" i="1"/>
  <c r="G157" i="1"/>
  <c r="G135" i="1"/>
  <c r="G123" i="1"/>
  <c r="G131" i="1" s="1"/>
  <c r="T214" i="4"/>
  <c r="S136" i="4"/>
  <c r="S148" i="4"/>
  <c r="S235" i="4"/>
  <c r="S214" i="4"/>
  <c r="T227" i="4"/>
  <c r="T154" i="4"/>
  <c r="T273" i="4"/>
  <c r="S245" i="4"/>
  <c r="T198" i="4"/>
  <c r="T148" i="4"/>
  <c r="T124" i="4"/>
  <c r="S221" i="4"/>
  <c r="S154" i="4"/>
  <c r="T281" i="4"/>
  <c r="S198" i="4"/>
  <c r="S281" i="4"/>
  <c r="S177" i="4"/>
  <c r="S227" i="4"/>
  <c r="S185" i="4"/>
  <c r="T235" i="4"/>
  <c r="T185" i="4"/>
  <c r="S273" i="4"/>
  <c r="S124" i="4"/>
  <c r="T177" i="4"/>
  <c r="T136" i="4"/>
  <c r="F177" i="1" l="1"/>
  <c r="I177" i="1"/>
  <c r="I123" i="1"/>
  <c r="I131" i="1" s="1"/>
  <c r="I151" i="1"/>
  <c r="I135" i="1"/>
  <c r="L279" i="1"/>
  <c r="I288" i="1"/>
  <c r="G40" i="1"/>
  <c r="G109" i="1"/>
  <c r="G105" i="1"/>
  <c r="F18" i="1"/>
  <c r="V58" i="4"/>
  <c r="F106" i="1"/>
  <c r="S132" i="4"/>
  <c r="S138" i="4" s="1"/>
  <c r="T132" i="4"/>
  <c r="T138" i="4" s="1"/>
  <c r="G110" i="1"/>
  <c r="G18" i="1"/>
  <c r="G97" i="1"/>
  <c r="G103" i="1"/>
  <c r="G30" i="1"/>
  <c r="L40" i="1"/>
  <c r="F40" i="1"/>
  <c r="G99" i="1"/>
  <c r="L28" i="1"/>
  <c r="G32" i="1"/>
  <c r="G20" i="1"/>
  <c r="L18" i="1"/>
  <c r="W19" i="4"/>
  <c r="G29" i="1"/>
  <c r="G21" i="1"/>
  <c r="V56" i="4"/>
  <c r="G14" i="1"/>
  <c r="V170" i="4"/>
  <c r="G19" i="1"/>
  <c r="G28" i="1"/>
  <c r="V132" i="4"/>
  <c r="G74" i="1"/>
  <c r="F100" i="1"/>
  <c r="F15" i="1"/>
  <c r="AB187" i="4"/>
  <c r="I242" i="1"/>
  <c r="L123" i="1"/>
  <c r="L131" i="1" s="1"/>
  <c r="I252" i="1"/>
  <c r="I228" i="1"/>
  <c r="L135" i="1"/>
  <c r="I221" i="1"/>
  <c r="L296" i="1"/>
  <c r="I234" i="1"/>
  <c r="I192" i="1"/>
  <c r="I184" i="1"/>
  <c r="AB247" i="4"/>
  <c r="AB229" i="4"/>
  <c r="L288" i="1"/>
  <c r="I205" i="1"/>
  <c r="L151" i="1"/>
  <c r="L157" i="1"/>
  <c r="I157" i="1"/>
  <c r="AC132" i="4"/>
  <c r="AB132" i="4"/>
  <c r="F192" i="1"/>
  <c r="G192" i="1"/>
  <c r="V235" i="4"/>
  <c r="F252" i="1"/>
  <c r="F184" i="1"/>
  <c r="F228" i="1"/>
  <c r="F234" i="1"/>
  <c r="F221" i="1"/>
  <c r="G234" i="1"/>
  <c r="V156" i="4"/>
  <c r="G221" i="1"/>
  <c r="F205" i="1"/>
  <c r="AC156" i="4"/>
  <c r="W235" i="4"/>
  <c r="V227" i="4"/>
  <c r="W177" i="4"/>
  <c r="AB156" i="4"/>
  <c r="V221" i="4"/>
  <c r="W227" i="4"/>
  <c r="W185" i="4"/>
  <c r="G184" i="1"/>
  <c r="V214" i="4"/>
  <c r="V177" i="4"/>
  <c r="W198" i="4"/>
  <c r="V245" i="4"/>
  <c r="W214" i="4"/>
  <c r="V185" i="4"/>
  <c r="V198" i="4"/>
  <c r="G205" i="1"/>
  <c r="J157" i="1"/>
  <c r="J151" i="1"/>
  <c r="J288" i="1"/>
  <c r="J135" i="1"/>
  <c r="J123" i="1"/>
  <c r="G177" i="1"/>
  <c r="F137" i="1"/>
  <c r="F140" i="1" s="1"/>
  <c r="F145" i="1" s="1"/>
  <c r="S156" i="4"/>
  <c r="F159" i="1"/>
  <c r="G159" i="1"/>
  <c r="G137" i="1"/>
  <c r="G140" i="1" s="1"/>
  <c r="G145" i="1" s="1"/>
  <c r="S247" i="4"/>
  <c r="T156" i="4"/>
  <c r="S187" i="4"/>
  <c r="S229" i="4"/>
  <c r="T187" i="4"/>
  <c r="L281" i="4"/>
  <c r="L273" i="4"/>
  <c r="L245" i="4"/>
  <c r="L235" i="4"/>
  <c r="L227" i="4"/>
  <c r="L221" i="4"/>
  <c r="L214" i="4"/>
  <c r="L198" i="4"/>
  <c r="L185" i="4"/>
  <c r="L177" i="4"/>
  <c r="L170" i="4"/>
  <c r="L154" i="4"/>
  <c r="L148" i="4"/>
  <c r="L136" i="4"/>
  <c r="L124" i="4"/>
  <c r="Q12" i="4"/>
  <c r="G19" i="9" s="1"/>
  <c r="G28" i="9" s="1"/>
  <c r="G35" i="9" s="1"/>
  <c r="P12" i="4"/>
  <c r="F19" i="9" s="1"/>
  <c r="F28" i="9" s="1"/>
  <c r="F35" i="9" s="1"/>
  <c r="O12" i="4"/>
  <c r="E19" i="9" s="1"/>
  <c r="E28" i="9" s="1"/>
  <c r="E35" i="9" s="1"/>
  <c r="N12" i="4"/>
  <c r="D19" i="9" s="1"/>
  <c r="D28" i="9" s="1"/>
  <c r="D35" i="9" s="1"/>
  <c r="D37" i="9" s="1"/>
  <c r="K12" i="4"/>
  <c r="J19" i="9" s="1"/>
  <c r="J28" i="9" s="1"/>
  <c r="J35" i="9" s="1"/>
  <c r="J12" i="4"/>
  <c r="I19" i="9" s="1"/>
  <c r="I28" i="9" s="1"/>
  <c r="I35" i="9" s="1"/>
  <c r="I12" i="4"/>
  <c r="H19" i="9" s="1"/>
  <c r="H28" i="9" s="1"/>
  <c r="H35" i="9" s="1"/>
  <c r="Q10" i="4"/>
  <c r="P10" i="4"/>
  <c r="O10" i="4"/>
  <c r="N10" i="4"/>
  <c r="K10" i="4"/>
  <c r="J10" i="4"/>
  <c r="I10" i="4"/>
  <c r="H90" i="1"/>
  <c r="H89" i="1"/>
  <c r="D44" i="9" l="1"/>
  <c r="D47" i="9" s="1"/>
  <c r="E41" i="9" s="1"/>
  <c r="E18" i="9"/>
  <c r="Z10" i="4"/>
  <c r="I159" i="1"/>
  <c r="Z12" i="4"/>
  <c r="J8" i="1" s="1"/>
  <c r="I254" i="1"/>
  <c r="I137" i="1"/>
  <c r="I140" i="1" s="1"/>
  <c r="I145" i="1" s="1"/>
  <c r="L137" i="1"/>
  <c r="L140" i="1" s="1"/>
  <c r="L145" i="1" s="1"/>
  <c r="T200" i="4"/>
  <c r="G106" i="1"/>
  <c r="G15" i="1"/>
  <c r="S200" i="4"/>
  <c r="L62" i="4"/>
  <c r="AB62" i="4" s="1"/>
  <c r="I54" i="1" s="1"/>
  <c r="S140" i="4"/>
  <c r="AB200" i="4"/>
  <c r="L57" i="4"/>
  <c r="AB57" i="4" s="1"/>
  <c r="I49" i="1" s="1"/>
  <c r="L64" i="4"/>
  <c r="AB64" i="4" s="1"/>
  <c r="I56" i="1" s="1"/>
  <c r="T140" i="4"/>
  <c r="F48" i="1"/>
  <c r="F50" i="1"/>
  <c r="L65" i="4"/>
  <c r="AB65" i="4" s="1"/>
  <c r="I57" i="1" s="1"/>
  <c r="L132" i="4"/>
  <c r="L138" i="4" s="1"/>
  <c r="L43" i="4"/>
  <c r="L77" i="4"/>
  <c r="L80" i="4"/>
  <c r="V138" i="4"/>
  <c r="G100" i="1"/>
  <c r="I236" i="1"/>
  <c r="I194" i="1"/>
  <c r="I207" i="1" s="1"/>
  <c r="T10" i="4"/>
  <c r="AC138" i="4"/>
  <c r="AB249" i="4"/>
  <c r="T12" i="4"/>
  <c r="L159" i="1"/>
  <c r="V247" i="4"/>
  <c r="F194" i="1"/>
  <c r="F207" i="1" s="1"/>
  <c r="V187" i="4"/>
  <c r="AB138" i="4"/>
  <c r="W187" i="4"/>
  <c r="V229" i="4"/>
  <c r="S64" i="4"/>
  <c r="S65" i="4"/>
  <c r="W12" i="4"/>
  <c r="AC12" i="4"/>
  <c r="S62" i="4"/>
  <c r="W10" i="4"/>
  <c r="AC10" i="4"/>
  <c r="S57" i="4"/>
  <c r="M88" i="1"/>
  <c r="M90" i="1"/>
  <c r="J159" i="1"/>
  <c r="J131" i="1"/>
  <c r="G194" i="1"/>
  <c r="L63" i="4"/>
  <c r="F161" i="1"/>
  <c r="G161" i="1"/>
  <c r="S249" i="4"/>
  <c r="G111" i="1"/>
  <c r="L187" i="4"/>
  <c r="L66" i="4"/>
  <c r="L36" i="4"/>
  <c r="L247" i="4"/>
  <c r="L229" i="4"/>
  <c r="L156" i="4"/>
  <c r="E37" i="9" l="1"/>
  <c r="F18" i="9" s="1"/>
  <c r="I161" i="1"/>
  <c r="J7" i="1"/>
  <c r="I256" i="1"/>
  <c r="L161" i="1"/>
  <c r="M8" i="1"/>
  <c r="V140" i="4"/>
  <c r="G8" i="1"/>
  <c r="S80" i="4"/>
  <c r="V64" i="4"/>
  <c r="S77" i="4"/>
  <c r="G7" i="1"/>
  <c r="V200" i="4"/>
  <c r="S43" i="4"/>
  <c r="V57" i="4"/>
  <c r="L55" i="4"/>
  <c r="L60" i="4" s="1"/>
  <c r="W200" i="4"/>
  <c r="L41" i="4"/>
  <c r="V65" i="4"/>
  <c r="M7" i="1"/>
  <c r="AC140" i="4"/>
  <c r="V249" i="4"/>
  <c r="AB140" i="4"/>
  <c r="S55" i="4"/>
  <c r="AB63" i="4"/>
  <c r="I55" i="1" s="1"/>
  <c r="S63" i="4"/>
  <c r="S13" i="4"/>
  <c r="AB13" i="4"/>
  <c r="V62" i="4"/>
  <c r="AB36" i="4"/>
  <c r="V36" i="4"/>
  <c r="S36" i="4"/>
  <c r="AB66" i="4"/>
  <c r="I58" i="1" s="1"/>
  <c r="S66" i="4"/>
  <c r="J137" i="1"/>
  <c r="G207" i="1"/>
  <c r="L12" i="4"/>
  <c r="K19" i="9" s="1"/>
  <c r="K28" i="9" s="1"/>
  <c r="K35" i="9" s="1"/>
  <c r="H92" i="1"/>
  <c r="F111" i="1"/>
  <c r="L68" i="4"/>
  <c r="L200" i="4"/>
  <c r="L249" i="4"/>
  <c r="S255" i="4"/>
  <c r="F269" i="1" s="1"/>
  <c r="L140" i="4"/>
  <c r="H88" i="1"/>
  <c r="E44" i="9" l="1"/>
  <c r="E47" i="9" s="1"/>
  <c r="F37" i="9"/>
  <c r="G18" i="9" s="1"/>
  <c r="I60" i="1"/>
  <c r="F29" i="1"/>
  <c r="L29" i="1"/>
  <c r="F70" i="1"/>
  <c r="F54" i="1"/>
  <c r="V13" i="4"/>
  <c r="F49" i="1"/>
  <c r="V143" i="4"/>
  <c r="F36" i="1"/>
  <c r="F56" i="1"/>
  <c r="V55" i="4"/>
  <c r="F47" i="1" s="1"/>
  <c r="F57" i="1"/>
  <c r="F73" i="1"/>
  <c r="S157" i="4"/>
  <c r="V66" i="4"/>
  <c r="AC143" i="4"/>
  <c r="AC157" i="4" s="1"/>
  <c r="AB55" i="4"/>
  <c r="I47" i="1" s="1"/>
  <c r="I52" i="1" s="1"/>
  <c r="L143" i="4"/>
  <c r="S41" i="4"/>
  <c r="L45" i="4"/>
  <c r="AB143" i="4"/>
  <c r="S68" i="4"/>
  <c r="AB68" i="4"/>
  <c r="V63" i="4"/>
  <c r="S12" i="4"/>
  <c r="V12" i="4"/>
  <c r="AB12" i="4"/>
  <c r="J140" i="1"/>
  <c r="S60" i="4"/>
  <c r="T300" i="4"/>
  <c r="L258" i="4"/>
  <c r="F44" i="9" l="1"/>
  <c r="F47" i="9" s="1"/>
  <c r="G37" i="9"/>
  <c r="H18" i="9" s="1"/>
  <c r="G44" i="9"/>
  <c r="G47" i="9" s="1"/>
  <c r="V60" i="4"/>
  <c r="F52" i="1"/>
  <c r="AB60" i="4"/>
  <c r="F58" i="1"/>
  <c r="F8" i="1"/>
  <c r="F34" i="1"/>
  <c r="F38" i="1" s="1"/>
  <c r="F42" i="1" s="1"/>
  <c r="S45" i="4"/>
  <c r="V157" i="4"/>
  <c r="L49" i="4"/>
  <c r="L157" i="4"/>
  <c r="F9" i="1"/>
  <c r="L73" i="4"/>
  <c r="L8" i="1"/>
  <c r="V68" i="4"/>
  <c r="F55" i="1"/>
  <c r="AB157" i="4"/>
  <c r="J145" i="1"/>
  <c r="S258" i="4"/>
  <c r="F273" i="1"/>
  <c r="H37" i="9" l="1"/>
  <c r="I18" i="9" s="1"/>
  <c r="H44" i="9"/>
  <c r="H47" i="9" s="1"/>
  <c r="S49" i="4"/>
  <c r="S73" i="4"/>
  <c r="J161" i="1"/>
  <c r="G296" i="1"/>
  <c r="G242" i="1"/>
  <c r="F242" i="1"/>
  <c r="I37" i="9" l="1"/>
  <c r="J18" i="9" s="1"/>
  <c r="I44" i="9"/>
  <c r="I47" i="9" s="1"/>
  <c r="F66" i="1"/>
  <c r="W242" i="4"/>
  <c r="W218" i="4"/>
  <c r="F236" i="1"/>
  <c r="F60" i="1"/>
  <c r="F296" i="1"/>
  <c r="I296" i="1"/>
  <c r="F254" i="1"/>
  <c r="J37" i="9" l="1"/>
  <c r="K18" i="9" s="1"/>
  <c r="J44" i="9"/>
  <c r="J47" i="9" s="1"/>
  <c r="W221" i="4"/>
  <c r="W245" i="4"/>
  <c r="T221" i="4"/>
  <c r="F256" i="1"/>
  <c r="T245" i="4"/>
  <c r="K37" i="9" l="1"/>
  <c r="L18" i="9" s="1"/>
  <c r="K44" i="9"/>
  <c r="K47" i="9" s="1"/>
  <c r="T247" i="4"/>
  <c r="T229" i="4"/>
  <c r="W247" i="4"/>
  <c r="W229" i="4"/>
  <c r="G252" i="1"/>
  <c r="G228" i="1"/>
  <c r="L37" i="9" l="1"/>
  <c r="M18" i="9" s="1"/>
  <c r="L44" i="9"/>
  <c r="L47" i="9" s="1"/>
  <c r="T249" i="4"/>
  <c r="W249" i="4"/>
  <c r="G236" i="1"/>
  <c r="G254" i="1"/>
  <c r="M37" i="9" l="1"/>
  <c r="M44" i="9"/>
  <c r="M47" i="9" s="1"/>
  <c r="G256" i="1"/>
  <c r="L92" i="1"/>
  <c r="G87" i="1"/>
  <c r="Q38" i="4" l="1"/>
  <c r="AC38" i="4" l="1"/>
  <c r="W38" i="4"/>
  <c r="T38" i="4"/>
  <c r="M92" i="1"/>
  <c r="K92" i="1"/>
  <c r="G31" i="1" l="1"/>
  <c r="N89" i="1"/>
  <c r="M31" i="1"/>
  <c r="I85" i="1"/>
  <c r="N85" i="1"/>
  <c r="K87" i="1"/>
  <c r="F87" i="1"/>
  <c r="Q300" i="4"/>
  <c r="Q40" i="4" s="1"/>
  <c r="P300" i="4"/>
  <c r="P40" i="4" s="1"/>
  <c r="O300" i="4"/>
  <c r="O40" i="4" s="1"/>
  <c r="N300" i="4"/>
  <c r="N40" i="4" s="1"/>
  <c r="AC40" i="4" s="1"/>
  <c r="F315" i="1"/>
  <c r="M89" i="1" l="1"/>
  <c r="Q281" i="4"/>
  <c r="P281" i="4"/>
  <c r="O281" i="4"/>
  <c r="K281" i="4"/>
  <c r="J281" i="4"/>
  <c r="I281" i="4"/>
  <c r="Q273" i="4"/>
  <c r="P273" i="4"/>
  <c r="O273" i="4"/>
  <c r="N273" i="4"/>
  <c r="K273" i="4"/>
  <c r="J273" i="4"/>
  <c r="I273" i="4"/>
  <c r="P264" i="4"/>
  <c r="O264" i="4"/>
  <c r="I264" i="4"/>
  <c r="K264" i="4"/>
  <c r="J264" i="4"/>
  <c r="O247" i="4"/>
  <c r="Q245" i="4"/>
  <c r="P245" i="4"/>
  <c r="N245" i="4"/>
  <c r="K245" i="4"/>
  <c r="I245" i="4"/>
  <c r="Q235" i="4"/>
  <c r="P235" i="4"/>
  <c r="N235" i="4"/>
  <c r="K235" i="4"/>
  <c r="I235" i="4"/>
  <c r="Q227" i="4"/>
  <c r="P227" i="4"/>
  <c r="N227" i="4"/>
  <c r="K227" i="4"/>
  <c r="I227" i="4"/>
  <c r="Q221" i="4"/>
  <c r="P221" i="4"/>
  <c r="N221" i="4"/>
  <c r="K221" i="4"/>
  <c r="I221" i="4"/>
  <c r="Q214" i="4"/>
  <c r="P214" i="4"/>
  <c r="O214" i="4"/>
  <c r="N214" i="4"/>
  <c r="K214" i="4"/>
  <c r="J214" i="4"/>
  <c r="J249" i="4" s="1"/>
  <c r="I214" i="4"/>
  <c r="B204" i="4"/>
  <c r="Q198" i="4"/>
  <c r="P198" i="4"/>
  <c r="O198" i="4"/>
  <c r="K198" i="4"/>
  <c r="J198" i="4"/>
  <c r="I198" i="4"/>
  <c r="Q185" i="4"/>
  <c r="P185" i="4"/>
  <c r="O185" i="4"/>
  <c r="K185" i="4"/>
  <c r="J185" i="4"/>
  <c r="I185" i="4"/>
  <c r="Q177" i="4"/>
  <c r="P177" i="4"/>
  <c r="O177" i="4"/>
  <c r="K177" i="4"/>
  <c r="J177" i="4"/>
  <c r="I177" i="4"/>
  <c r="Q170" i="4"/>
  <c r="P170" i="4"/>
  <c r="O170" i="4"/>
  <c r="K170" i="4"/>
  <c r="J170" i="4"/>
  <c r="I170" i="4"/>
  <c r="Q154" i="4"/>
  <c r="P154" i="4"/>
  <c r="K154" i="4"/>
  <c r="J154" i="4"/>
  <c r="I154" i="4"/>
  <c r="O154" i="4"/>
  <c r="N154" i="4"/>
  <c r="P148" i="4"/>
  <c r="I148" i="4"/>
  <c r="Q148" i="4"/>
  <c r="N148" i="4"/>
  <c r="K148" i="4"/>
  <c r="J148" i="4"/>
  <c r="O148" i="4"/>
  <c r="P136" i="4"/>
  <c r="I136" i="4"/>
  <c r="Q136" i="4"/>
  <c r="O136" i="4"/>
  <c r="N136" i="4"/>
  <c r="K136" i="4"/>
  <c r="J136" i="4"/>
  <c r="P124" i="4"/>
  <c r="I124" i="4"/>
  <c r="Q124" i="4"/>
  <c r="O124" i="4"/>
  <c r="N124" i="4"/>
  <c r="K124" i="4"/>
  <c r="J124" i="4"/>
  <c r="O66" i="4"/>
  <c r="J66" i="4"/>
  <c r="Z66" i="4" s="1"/>
  <c r="O65" i="4"/>
  <c r="J65" i="4"/>
  <c r="Z65" i="4" s="1"/>
  <c r="O64" i="4"/>
  <c r="J64" i="4"/>
  <c r="Z64" i="4" s="1"/>
  <c r="O63" i="4"/>
  <c r="J63" i="4"/>
  <c r="Z63" i="4" s="1"/>
  <c r="Q58" i="4"/>
  <c r="P58" i="4"/>
  <c r="O58" i="4"/>
  <c r="N58" i="4"/>
  <c r="I58" i="4"/>
  <c r="N57" i="4"/>
  <c r="Q56" i="4"/>
  <c r="P56" i="4"/>
  <c r="O56" i="4"/>
  <c r="N56" i="4"/>
  <c r="N55" i="4"/>
  <c r="N66" i="4" l="1"/>
  <c r="N77" i="4"/>
  <c r="P77" i="4"/>
  <c r="J62" i="4"/>
  <c r="Z62" i="4" s="1"/>
  <c r="Z68" i="4" s="1"/>
  <c r="Q77" i="4"/>
  <c r="K62" i="4"/>
  <c r="K43" i="4"/>
  <c r="P64" i="4"/>
  <c r="O62" i="4"/>
  <c r="O68" i="4" s="1"/>
  <c r="Q64" i="4"/>
  <c r="AC64" i="4" s="1"/>
  <c r="J74" i="4"/>
  <c r="I80" i="4"/>
  <c r="N62" i="4"/>
  <c r="J80" i="4"/>
  <c r="T80" i="4" s="1"/>
  <c r="K64" i="4"/>
  <c r="J43" i="4"/>
  <c r="K65" i="4"/>
  <c r="P66" i="4"/>
  <c r="K57" i="4"/>
  <c r="P62" i="4"/>
  <c r="O74" i="4"/>
  <c r="P65" i="4"/>
  <c r="N132" i="4"/>
  <c r="N41" i="4" s="1"/>
  <c r="Q80" i="4"/>
  <c r="P132" i="4"/>
  <c r="P138" i="4" s="1"/>
  <c r="Q66" i="4"/>
  <c r="AC66" i="4" s="1"/>
  <c r="Q62" i="4"/>
  <c r="AC62" i="4" s="1"/>
  <c r="N65" i="4"/>
  <c r="K132" i="4"/>
  <c r="K41" i="4" s="1"/>
  <c r="O57" i="4"/>
  <c r="P80" i="4"/>
  <c r="J77" i="4"/>
  <c r="O77" i="4"/>
  <c r="N64" i="4"/>
  <c r="K74" i="4"/>
  <c r="J57" i="4"/>
  <c r="Z57" i="4" s="1"/>
  <c r="K80" i="4"/>
  <c r="V80" i="4" s="1"/>
  <c r="J132" i="4"/>
  <c r="J41" i="4" s="1"/>
  <c r="O80" i="4"/>
  <c r="P74" i="4"/>
  <c r="O132" i="4"/>
  <c r="O138" i="4" s="1"/>
  <c r="Q132" i="4"/>
  <c r="Q41" i="4" s="1"/>
  <c r="K66" i="4"/>
  <c r="K77" i="4"/>
  <c r="V77" i="4" s="1"/>
  <c r="I74" i="4"/>
  <c r="I77" i="4"/>
  <c r="I57" i="4"/>
  <c r="I66" i="4"/>
  <c r="I132" i="4"/>
  <c r="I62" i="4"/>
  <c r="I64" i="4"/>
  <c r="I43" i="4"/>
  <c r="Z43" i="4" s="1"/>
  <c r="AC56" i="4"/>
  <c r="T56" i="4"/>
  <c r="AC58" i="4"/>
  <c r="T58" i="4"/>
  <c r="K63" i="4"/>
  <c r="P63" i="4"/>
  <c r="N63" i="4"/>
  <c r="Q63" i="4"/>
  <c r="I229" i="4"/>
  <c r="K229" i="4"/>
  <c r="Q247" i="4"/>
  <c r="O249" i="4"/>
  <c r="I156" i="4"/>
  <c r="O156" i="4"/>
  <c r="J156" i="4"/>
  <c r="Q156" i="4"/>
  <c r="K187" i="4"/>
  <c r="P156" i="4"/>
  <c r="P187" i="4"/>
  <c r="I187" i="4"/>
  <c r="I247" i="4"/>
  <c r="K247" i="4"/>
  <c r="N229" i="4"/>
  <c r="N247" i="4"/>
  <c r="N60" i="4"/>
  <c r="I63" i="4"/>
  <c r="Q65" i="4"/>
  <c r="O187" i="4"/>
  <c r="P247" i="4"/>
  <c r="J187" i="4"/>
  <c r="Q187" i="4"/>
  <c r="K156" i="4"/>
  <c r="N156" i="4"/>
  <c r="P229" i="4"/>
  <c r="P57" i="4"/>
  <c r="Q57" i="4"/>
  <c r="I65" i="4"/>
  <c r="Q229" i="4"/>
  <c r="Z77" i="4" l="1"/>
  <c r="J70" i="1" s="1"/>
  <c r="Z45" i="4"/>
  <c r="Z49" i="4" s="1"/>
  <c r="J36" i="1"/>
  <c r="J38" i="1" s="1"/>
  <c r="J42" i="1" s="1"/>
  <c r="Z74" i="4"/>
  <c r="J67" i="1" s="1"/>
  <c r="Z80" i="4"/>
  <c r="J73" i="1" s="1"/>
  <c r="J68" i="4"/>
  <c r="J138" i="4"/>
  <c r="J140" i="4" s="1"/>
  <c r="AC77" i="4"/>
  <c r="P41" i="4"/>
  <c r="P45" i="4" s="1"/>
  <c r="K138" i="4"/>
  <c r="K140" i="4" s="1"/>
  <c r="N138" i="4"/>
  <c r="N140" i="4" s="1"/>
  <c r="T64" i="4"/>
  <c r="T62" i="4"/>
  <c r="W62" i="4" s="1"/>
  <c r="W58" i="4"/>
  <c r="L70" i="1"/>
  <c r="T66" i="4"/>
  <c r="Q55" i="4"/>
  <c r="Q60" i="4" s="1"/>
  <c r="Q138" i="4"/>
  <c r="Q140" i="4" s="1"/>
  <c r="W56" i="4"/>
  <c r="T77" i="4"/>
  <c r="G73" i="1"/>
  <c r="J45" i="4"/>
  <c r="K45" i="4"/>
  <c r="P68" i="4"/>
  <c r="K68" i="4"/>
  <c r="P55" i="4"/>
  <c r="P60" i="4" s="1"/>
  <c r="O55" i="4"/>
  <c r="N68" i="4"/>
  <c r="L73" i="1"/>
  <c r="AB80" i="4"/>
  <c r="O41" i="4"/>
  <c r="W77" i="4"/>
  <c r="I41" i="4"/>
  <c r="AB77" i="4"/>
  <c r="AB43" i="4"/>
  <c r="W43" i="4"/>
  <c r="T43" i="4"/>
  <c r="V43" i="4"/>
  <c r="I138" i="4"/>
  <c r="V41" i="4"/>
  <c r="T13" i="4"/>
  <c r="AC13" i="4"/>
  <c r="AC63" i="4"/>
  <c r="T63" i="4"/>
  <c r="Q45" i="4"/>
  <c r="AC65" i="4"/>
  <c r="T65" i="4"/>
  <c r="N45" i="4"/>
  <c r="AC57" i="4"/>
  <c r="T57" i="4"/>
  <c r="I200" i="4"/>
  <c r="I55" i="4"/>
  <c r="J55" i="4"/>
  <c r="Z55" i="4" s="1"/>
  <c r="Z60" i="4" s="1"/>
  <c r="K200" i="4"/>
  <c r="K55" i="4"/>
  <c r="Q68" i="4"/>
  <c r="K249" i="4"/>
  <c r="Q249" i="4"/>
  <c r="I249" i="4"/>
  <c r="J200" i="4"/>
  <c r="I68" i="4"/>
  <c r="P200" i="4"/>
  <c r="N249" i="4"/>
  <c r="Q200" i="4"/>
  <c r="O200" i="4"/>
  <c r="P249" i="4"/>
  <c r="O140" i="4"/>
  <c r="O258" i="4"/>
  <c r="P140" i="4"/>
  <c r="P258" i="4"/>
  <c r="J258" i="4"/>
  <c r="K258" i="4"/>
  <c r="AC41" i="4" l="1"/>
  <c r="AC55" i="4"/>
  <c r="AC60" i="4" s="1"/>
  <c r="W41" i="4"/>
  <c r="W45" i="4" s="1"/>
  <c r="T41" i="4"/>
  <c r="G34" i="1" s="1"/>
  <c r="AB41" i="4"/>
  <c r="AB45" i="4" s="1"/>
  <c r="L36" i="1"/>
  <c r="K60" i="4"/>
  <c r="Q49" i="4"/>
  <c r="K49" i="4"/>
  <c r="G36" i="1"/>
  <c r="W66" i="4"/>
  <c r="W63" i="4"/>
  <c r="K143" i="4"/>
  <c r="J60" i="4"/>
  <c r="M36" i="1"/>
  <c r="O60" i="4"/>
  <c r="J49" i="4"/>
  <c r="I60" i="4"/>
  <c r="G54" i="1"/>
  <c r="W57" i="4"/>
  <c r="G50" i="1"/>
  <c r="Q143" i="4"/>
  <c r="G70" i="1"/>
  <c r="J143" i="4"/>
  <c r="T143" i="4" s="1"/>
  <c r="T157" i="4" s="1"/>
  <c r="W13" i="4"/>
  <c r="M70" i="1"/>
  <c r="AC45" i="4"/>
  <c r="P49" i="4"/>
  <c r="G48" i="1"/>
  <c r="O143" i="4"/>
  <c r="P143" i="4"/>
  <c r="O45" i="4"/>
  <c r="N143" i="4"/>
  <c r="N49" i="4"/>
  <c r="I45" i="4"/>
  <c r="W65" i="4"/>
  <c r="W64" i="4"/>
  <c r="I140" i="4"/>
  <c r="T255" i="4"/>
  <c r="G269" i="1" s="1"/>
  <c r="T55" i="4"/>
  <c r="I87" i="1"/>
  <c r="L34" i="1"/>
  <c r="V45" i="4"/>
  <c r="AC68" i="4"/>
  <c r="V255" i="4"/>
  <c r="L269" i="1" s="1"/>
  <c r="AB255" i="4"/>
  <c r="T68" i="4"/>
  <c r="N258" i="4"/>
  <c r="AC255" i="4"/>
  <c r="W255" i="4"/>
  <c r="M269" i="1" s="1"/>
  <c r="M273" i="1" s="1"/>
  <c r="I258" i="4"/>
  <c r="Q258" i="4"/>
  <c r="J73" i="4"/>
  <c r="J266" i="4"/>
  <c r="I4" i="9" s="1"/>
  <c r="I6" i="9" s="1"/>
  <c r="I11" i="9" s="1"/>
  <c r="P73" i="4"/>
  <c r="P266" i="4"/>
  <c r="F4" i="9" s="1"/>
  <c r="F6" i="9" s="1"/>
  <c r="F11" i="9" s="1"/>
  <c r="K266" i="4"/>
  <c r="J4" i="9" s="1"/>
  <c r="J6" i="9" s="1"/>
  <c r="J11" i="9" s="1"/>
  <c r="K73" i="4"/>
  <c r="O73" i="4"/>
  <c r="O266" i="4"/>
  <c r="E4" i="9" s="1"/>
  <c r="E6" i="9" s="1"/>
  <c r="E11" i="9" s="1"/>
  <c r="T27" i="4" l="1"/>
  <c r="G23" i="1" s="1"/>
  <c r="N87" i="1"/>
  <c r="M34" i="1"/>
  <c r="M38" i="1" s="1"/>
  <c r="M42" i="1" s="1"/>
  <c r="G38" i="1"/>
  <c r="G42" i="1" s="1"/>
  <c r="T45" i="4"/>
  <c r="T49" i="4" s="1"/>
  <c r="G56" i="1"/>
  <c r="G9" i="1"/>
  <c r="W55" i="4"/>
  <c r="W60" i="4" s="1"/>
  <c r="G57" i="1"/>
  <c r="I49" i="4"/>
  <c r="J157" i="4"/>
  <c r="O75" i="4"/>
  <c r="K75" i="4"/>
  <c r="K157" i="4"/>
  <c r="G55" i="1"/>
  <c r="W68" i="4"/>
  <c r="O157" i="4"/>
  <c r="K283" i="4"/>
  <c r="P283" i="4"/>
  <c r="G58" i="1"/>
  <c r="W49" i="4"/>
  <c r="Q157" i="4"/>
  <c r="P75" i="4"/>
  <c r="AB49" i="4"/>
  <c r="O283" i="4"/>
  <c r="N73" i="4"/>
  <c r="N157" i="4"/>
  <c r="J283" i="4"/>
  <c r="O49" i="4"/>
  <c r="AC49" i="4"/>
  <c r="J75" i="4"/>
  <c r="V49" i="4"/>
  <c r="P157" i="4"/>
  <c r="G49" i="1"/>
  <c r="I143" i="4"/>
  <c r="T60" i="4"/>
  <c r="V258" i="4"/>
  <c r="W258" i="4"/>
  <c r="I266" i="4"/>
  <c r="H4" i="9" s="1"/>
  <c r="H6" i="9" s="1"/>
  <c r="H11" i="9" s="1"/>
  <c r="AB258" i="4"/>
  <c r="AC258" i="4"/>
  <c r="I73" i="4"/>
  <c r="Z73" i="4" s="1"/>
  <c r="J66" i="1" s="1"/>
  <c r="Q73" i="4"/>
  <c r="T258" i="4"/>
  <c r="Z27" i="4" l="1"/>
  <c r="J23" i="1" s="1"/>
  <c r="L273" i="1"/>
  <c r="L281" i="1" s="1"/>
  <c r="L298" i="1" s="1"/>
  <c r="I273" i="1"/>
  <c r="G273" i="1"/>
  <c r="G60" i="1"/>
  <c r="I283" i="4"/>
  <c r="T73" i="4"/>
  <c r="K78" i="4"/>
  <c r="K82" i="4" s="1"/>
  <c r="G47" i="1"/>
  <c r="G52" i="1" s="1"/>
  <c r="V266" i="4"/>
  <c r="J78" i="4"/>
  <c r="J82" i="4" s="1"/>
  <c r="P78" i="4"/>
  <c r="P82" i="4" s="1"/>
  <c r="O78" i="4"/>
  <c r="O82" i="4" s="1"/>
  <c r="I157" i="4"/>
  <c r="AB266" i="4"/>
  <c r="I75" i="4"/>
  <c r="Z75" i="4" s="1"/>
  <c r="J68" i="1" s="1"/>
  <c r="AB73" i="4"/>
  <c r="V73" i="4"/>
  <c r="W73" i="4"/>
  <c r="AC73" i="4"/>
  <c r="J273" i="1"/>
  <c r="M66" i="1" l="1"/>
  <c r="V283" i="4"/>
  <c r="AB283" i="4"/>
  <c r="L66" i="1"/>
  <c r="G66" i="1"/>
  <c r="I78" i="4"/>
  <c r="Z78" i="4" l="1"/>
  <c r="I82" i="4"/>
  <c r="B209" i="1"/>
  <c r="Z82" i="4" l="1"/>
  <c r="J75" i="1" s="1"/>
  <c r="J71" i="1"/>
  <c r="L87" i="1"/>
  <c r="L10" i="4" l="1"/>
  <c r="S10" i="4" l="1"/>
  <c r="AB10" i="4"/>
  <c r="V10" i="4"/>
  <c r="F7" i="1" l="1"/>
  <c r="T40" i="4"/>
  <c r="L7" i="1"/>
  <c r="V40" i="4"/>
  <c r="W40" i="4" l="1"/>
  <c r="M33" i="1" s="1"/>
  <c r="Z40" i="4"/>
  <c r="J33" i="1" s="1"/>
  <c r="G33" i="1"/>
  <c r="AB40" i="4"/>
  <c r="L33" i="1"/>
  <c r="I91" i="1"/>
  <c r="I92" i="1" s="1"/>
  <c r="L38" i="1"/>
  <c r="L42" i="1" s="1"/>
  <c r="N91" i="1" l="1"/>
  <c r="M91" i="1" s="1"/>
  <c r="M87" i="1" s="1"/>
  <c r="H91" i="1"/>
  <c r="H87" i="1" s="1"/>
  <c r="N281" i="4"/>
  <c r="N92" i="1" l="1"/>
  <c r="T263" i="4"/>
  <c r="G278" i="1" s="1"/>
  <c r="W263" i="4"/>
  <c r="M278" i="1" s="1"/>
  <c r="M279" i="1" s="1"/>
  <c r="M281" i="1" s="1"/>
  <c r="M298" i="1" s="1"/>
  <c r="N80" i="4"/>
  <c r="N264" i="4"/>
  <c r="J296" i="1"/>
  <c r="N266" i="4" l="1"/>
  <c r="D4" i="9" s="1"/>
  <c r="D6" i="9" s="1"/>
  <c r="D11" i="9" s="1"/>
  <c r="W264" i="4"/>
  <c r="Q264" i="4"/>
  <c r="AC263" i="4"/>
  <c r="AC80" i="4"/>
  <c r="W80" i="4"/>
  <c r="T264" i="4"/>
  <c r="N74" i="4"/>
  <c r="G279" i="1" l="1"/>
  <c r="G281" i="1" s="1"/>
  <c r="G298" i="1" s="1"/>
  <c r="M73" i="1"/>
  <c r="T266" i="4"/>
  <c r="W266" i="4"/>
  <c r="Q266" i="4"/>
  <c r="G4" i="9" s="1"/>
  <c r="G6" i="9" s="1"/>
  <c r="G11" i="9" s="1"/>
  <c r="Q74" i="4"/>
  <c r="Q75" i="4" s="1"/>
  <c r="N283" i="4"/>
  <c r="AC264" i="4"/>
  <c r="N75" i="4"/>
  <c r="J279" i="1"/>
  <c r="J281" i="1" s="1"/>
  <c r="J13" i="9" l="1"/>
  <c r="H13" i="9"/>
  <c r="I13" i="9"/>
  <c r="G13" i="9"/>
  <c r="AC27" i="4"/>
  <c r="Q283" i="4"/>
  <c r="N287" i="4"/>
  <c r="W283" i="4"/>
  <c r="T74" i="4"/>
  <c r="W74" i="4"/>
  <c r="T283" i="4"/>
  <c r="AC74" i="4"/>
  <c r="AC266" i="4"/>
  <c r="Q78" i="4"/>
  <c r="Q82" i="4" s="1"/>
  <c r="T75" i="4"/>
  <c r="N78" i="4"/>
  <c r="N82" i="4" s="1"/>
  <c r="W75" i="4"/>
  <c r="AC75" i="4"/>
  <c r="J298" i="1"/>
  <c r="W27" i="4" l="1"/>
  <c r="M23" i="1" s="1"/>
  <c r="M67" i="1"/>
  <c r="M68" i="1"/>
  <c r="T78" i="4"/>
  <c r="T82" i="4" s="1"/>
  <c r="G67" i="1"/>
  <c r="G68" i="1"/>
  <c r="O285" i="4"/>
  <c r="AC283" i="4"/>
  <c r="AC287" i="4" s="1"/>
  <c r="AC78" i="4"/>
  <c r="AC82" i="4" s="1"/>
  <c r="W78" i="4"/>
  <c r="W82" i="4" s="1"/>
  <c r="G71" i="1" l="1"/>
  <c r="M71" i="1"/>
  <c r="O287" i="4"/>
  <c r="N84" i="4"/>
  <c r="F279" i="1"/>
  <c r="F281" i="1" s="1"/>
  <c r="F298" i="1" s="1"/>
  <c r="L264" i="4"/>
  <c r="P285" i="4" l="1"/>
  <c r="W285" i="4" s="1"/>
  <c r="G75" i="1"/>
  <c r="O84" i="4"/>
  <c r="L266" i="4"/>
  <c r="K4" i="9" s="1"/>
  <c r="K6" i="9" s="1"/>
  <c r="K11" i="9" s="1"/>
  <c r="M75" i="1"/>
  <c r="L74" i="4"/>
  <c r="S264" i="4"/>
  <c r="I279" i="1"/>
  <c r="I281" i="1" s="1"/>
  <c r="I298" i="1" s="1"/>
  <c r="L13" i="9" l="1"/>
  <c r="M13" i="9"/>
  <c r="K13" i="9"/>
  <c r="M300" i="1"/>
  <c r="M302" i="1" s="1"/>
  <c r="W287" i="4"/>
  <c r="L283" i="4"/>
  <c r="S266" i="4"/>
  <c r="P84" i="4"/>
  <c r="P287" i="4"/>
  <c r="S74" i="4"/>
  <c r="AB74" i="4"/>
  <c r="V74" i="4"/>
  <c r="L75" i="4"/>
  <c r="V27" i="4" l="1"/>
  <c r="L23" i="1" s="1"/>
  <c r="AB27" i="4"/>
  <c r="Q285" i="4"/>
  <c r="Q84" i="4"/>
  <c r="S283" i="4"/>
  <c r="L67" i="1"/>
  <c r="F67" i="1"/>
  <c r="L78" i="4"/>
  <c r="L82" i="4" s="1"/>
  <c r="S75" i="4"/>
  <c r="AB75" i="4"/>
  <c r="V75" i="4"/>
  <c r="F68" i="1" l="1"/>
  <c r="AC84" i="4"/>
  <c r="I84" i="4"/>
  <c r="L68" i="1"/>
  <c r="Q287" i="4"/>
  <c r="S78" i="4"/>
  <c r="S82" i="4" s="1"/>
  <c r="V78" i="4"/>
  <c r="V82" i="4" s="1"/>
  <c r="AB78" i="4"/>
  <c r="AB82" i="4" s="1"/>
  <c r="I285" i="4" l="1"/>
  <c r="Z285" i="4" s="1"/>
  <c r="F71" i="1"/>
  <c r="L75" i="1"/>
  <c r="L71" i="1"/>
  <c r="J84" i="4"/>
  <c r="Z84" i="4" s="1"/>
  <c r="J77" i="1" s="1"/>
  <c r="F75" i="1"/>
  <c r="T84" i="4" l="1"/>
  <c r="G77" i="1" s="1"/>
  <c r="Z287" i="4"/>
  <c r="J300" i="1"/>
  <c r="J302" i="1" s="1"/>
  <c r="K84" i="4"/>
  <c r="AB285" i="4"/>
  <c r="I287" i="4"/>
  <c r="W84" i="4" l="1"/>
  <c r="M77" i="1" s="1"/>
  <c r="J285" i="4"/>
  <c r="T285" i="4" s="1"/>
  <c r="G300" i="1" s="1"/>
  <c r="AB287" i="4"/>
  <c r="L84" i="4"/>
  <c r="T287" i="4" l="1"/>
  <c r="G302" i="1"/>
  <c r="J287" i="4"/>
  <c r="D84" i="4"/>
  <c r="AB84" i="4"/>
  <c r="K285" i="4" l="1"/>
  <c r="V285" i="4" s="1"/>
  <c r="L300" i="1" l="1"/>
  <c r="L302" i="1" s="1"/>
  <c r="V287" i="4"/>
  <c r="S84" i="4"/>
  <c r="F77" i="1" s="1"/>
  <c r="Y84" i="4"/>
  <c r="I77" i="1" s="1"/>
  <c r="K287" i="4"/>
  <c r="V84" i="4" l="1"/>
  <c r="L77" i="1" s="1"/>
  <c r="L285" i="4"/>
  <c r="L287" i="4" l="1"/>
  <c r="D285" i="4" l="1"/>
  <c r="Y285" i="4" l="1"/>
  <c r="I300" i="1" s="1"/>
  <c r="I302" i="1" s="1"/>
  <c r="D287" i="4"/>
  <c r="E285" i="4" s="1"/>
  <c r="E287" i="4" s="1"/>
  <c r="S285" i="4" l="1"/>
  <c r="Y287" i="4"/>
  <c r="S287" i="4" l="1"/>
  <c r="F300" i="1"/>
  <c r="F302" i="1" s="1"/>
</calcChain>
</file>

<file path=xl/sharedStrings.xml><?xml version="1.0" encoding="utf-8"?>
<sst xmlns="http://schemas.openxmlformats.org/spreadsheetml/2006/main" count="655" uniqueCount="279">
  <si>
    <t>INTERIM REPORT Q2 2025</t>
  </si>
  <si>
    <t>(SEK million) - NYNAS GROUP</t>
  </si>
  <si>
    <t>KEY FINANCIAL MEASUREMENTS</t>
  </si>
  <si>
    <t>Q2</t>
  </si>
  <si>
    <t>LTM</t>
  </si>
  <si>
    <t>Net sales</t>
  </si>
  <si>
    <t>Adjusted EBITDA</t>
  </si>
  <si>
    <t>Net debt</t>
  </si>
  <si>
    <t>-</t>
  </si>
  <si>
    <t>Adjusted EBITDA, USD</t>
  </si>
  <si>
    <t>Net Working Capital</t>
  </si>
  <si>
    <t>Cash, Available</t>
  </si>
  <si>
    <t>Liquidity, Available</t>
  </si>
  <si>
    <t>Capital expenditures (Maintenance)</t>
  </si>
  <si>
    <t>Capital expenditures (Capacity)</t>
  </si>
  <si>
    <t>Capital expenditures (Turn Around)</t>
  </si>
  <si>
    <t>Capital expenditures (Germany)</t>
  </si>
  <si>
    <t>Operating Cash Flow, pre Interest</t>
  </si>
  <si>
    <t>CONDENSE INCOME STATEMENT</t>
  </si>
  <si>
    <t>Share of profit joint ventures</t>
  </si>
  <si>
    <t>Depreciation / Impairment (Fixed Asset)</t>
  </si>
  <si>
    <t>Depreciation / Impairment (Right of Use Asset)</t>
  </si>
  <si>
    <t>Adjusted items affecting comparability</t>
  </si>
  <si>
    <t>OPERATING RESULT</t>
  </si>
  <si>
    <t>Net financial items</t>
  </si>
  <si>
    <t>NET INCOME BEFORE TAX</t>
  </si>
  <si>
    <t>Tax</t>
  </si>
  <si>
    <t>NET INCOME FOR THE PERIOD</t>
  </si>
  <si>
    <t>CONDENSE STATEMENT OF FINANCIAL POSITION</t>
  </si>
  <si>
    <t>30 Jun 2025</t>
  </si>
  <si>
    <t>30 Jun 2024</t>
  </si>
  <si>
    <t>31 Dec 2024</t>
  </si>
  <si>
    <t>Fixed assets</t>
  </si>
  <si>
    <t>Inventories</t>
  </si>
  <si>
    <t>Current receivables</t>
  </si>
  <si>
    <t>Cash &amp; cash equivalents and short-term investments</t>
  </si>
  <si>
    <t>ASSETS</t>
  </si>
  <si>
    <t>Equity</t>
  </si>
  <si>
    <t>Long-term interest-bearing liabilities</t>
  </si>
  <si>
    <t>Long-term non-interest-bearing liabilities</t>
  </si>
  <si>
    <t>Current interest-bearing liabilities</t>
  </si>
  <si>
    <t>Current non-interest-bearing liabilities</t>
  </si>
  <si>
    <t>EQUITY AND LIABILITIES</t>
  </si>
  <si>
    <t>CONDENSE STATEMENT OF CASH FLOWS</t>
  </si>
  <si>
    <t>Cash flow from operating activities</t>
  </si>
  <si>
    <t>Changes in working capital</t>
  </si>
  <si>
    <t>CASH FLOW FROM OPERATING ACTIVITIES</t>
  </si>
  <si>
    <t>Cash flow from investing activities</t>
  </si>
  <si>
    <t>CASH FLOW AFTER INVESTING ACTIVITIES</t>
  </si>
  <si>
    <t>Proceeds from borrowings, repayment of borrowings</t>
  </si>
  <si>
    <t>Dividend</t>
  </si>
  <si>
    <t>CHANGE IN CASH &amp; CASH EQUIVALENTS</t>
  </si>
  <si>
    <t>CASH &amp; CASH EQUIVALENTS AT END OF THE PERIOD</t>
  </si>
  <si>
    <t>PERFORMANCE PER SEGMENT</t>
  </si>
  <si>
    <t>Jul 2024 - Jun 2025</t>
  </si>
  <si>
    <t>Jul 2023 - Jun 2024</t>
  </si>
  <si>
    <t>Naphthenic</t>
  </si>
  <si>
    <t>Bitumen</t>
  </si>
  <si>
    <t>Group/Elimination</t>
  </si>
  <si>
    <t>Group</t>
  </si>
  <si>
    <t>Naphthenics</t>
  </si>
  <si>
    <t>Net Sales</t>
  </si>
  <si>
    <t>Adjsuted EBITDA</t>
  </si>
  <si>
    <t>Full Year</t>
  </si>
  <si>
    <t>Net sales (kton)</t>
  </si>
  <si>
    <t>Product Margin (USD/Mton)</t>
  </si>
  <si>
    <t>INCOME STATEMENT AND STATEMENT OF COMPREHENSIVE INCOME</t>
  </si>
  <si>
    <t>Income statement</t>
  </si>
  <si>
    <t>Note</t>
  </si>
  <si>
    <t>Cost of sales</t>
  </si>
  <si>
    <t>GROSS RESULT</t>
  </si>
  <si>
    <t>Other income and value changes</t>
  </si>
  <si>
    <t>3</t>
  </si>
  <si>
    <t>Distribution costs</t>
  </si>
  <si>
    <t>Administrative expenses</t>
  </si>
  <si>
    <t>Share of profit/loss of joint ventures</t>
  </si>
  <si>
    <t>Other operating income</t>
  </si>
  <si>
    <t>Other operating expenses</t>
  </si>
  <si>
    <t>2,3,4,5,6,7,8</t>
  </si>
  <si>
    <t>Finance income</t>
  </si>
  <si>
    <t>Finance costs</t>
  </si>
  <si>
    <t>NET FINANCIAL ITEMS</t>
  </si>
  <si>
    <t>STATEMENT OF COMPREHENSIVE INCOME</t>
  </si>
  <si>
    <t>Net income for the period</t>
  </si>
  <si>
    <t>Items that will be reclassified to the income statement:</t>
  </si>
  <si>
    <t>Translation differences</t>
  </si>
  <si>
    <t>Cash flow hedges</t>
  </si>
  <si>
    <t>Income tax associated with cash flow hedges</t>
  </si>
  <si>
    <t>TOTAL AMOUNT THAT WILL BE RECLASSIFIED TO THE INCOME STATEMENT</t>
  </si>
  <si>
    <t>Items that will not be reclassified to the income statement:</t>
  </si>
  <si>
    <t>Actuarial loss/gain pensions</t>
  </si>
  <si>
    <t>Income tax associated with actuarial loss/gains pensions</t>
  </si>
  <si>
    <t>Inflation adjustment Argentina &amp; Turkey according to IAS 29</t>
  </si>
  <si>
    <t>TOTAL AMOUNT THAT NOT WILL BE RECLASSIFIED TO THE INCOME STATEMENT</t>
  </si>
  <si>
    <t>Other Comprehensive Income for the year, net after tax</t>
  </si>
  <si>
    <t>COMPREHENSIVE INCOME</t>
  </si>
  <si>
    <t>STATEMENT OF FINANCIAL POSITION</t>
  </si>
  <si>
    <t xml:space="preserve">ASSETS </t>
  </si>
  <si>
    <t>FIXED ASSETS</t>
  </si>
  <si>
    <t>INTANGIBLE ASSETS</t>
  </si>
  <si>
    <t>Computer software</t>
  </si>
  <si>
    <t>TOTAL INTANGIBLE ASSETS</t>
  </si>
  <si>
    <t>TANGIBLE ASSETS</t>
  </si>
  <si>
    <t>Land and buildings</t>
  </si>
  <si>
    <t>Plant and machinery</t>
  </si>
  <si>
    <t>Equipment</t>
  </si>
  <si>
    <t>Construction in progress</t>
  </si>
  <si>
    <t>TOTAL TANGIBLE ASSETS</t>
  </si>
  <si>
    <t>LEASED RIGHT-OF-USE ASSETS</t>
  </si>
  <si>
    <t>8,13</t>
  </si>
  <si>
    <t>FINANCIAL ASSETS</t>
  </si>
  <si>
    <t>Investments in associates and joint ventures</t>
  </si>
  <si>
    <t>Other long-term receivables</t>
  </si>
  <si>
    <t>Deferred tax assets</t>
  </si>
  <si>
    <t>TOTAL FINANCIAL ASSETS</t>
  </si>
  <si>
    <t>TOTAL FIXED ASSETS</t>
  </si>
  <si>
    <t>CURRENT ASSETS</t>
  </si>
  <si>
    <t>Accounts receivable</t>
  </si>
  <si>
    <t>18, 26</t>
  </si>
  <si>
    <t>Receivables from joint ventures</t>
  </si>
  <si>
    <t>Derivative instruments</t>
  </si>
  <si>
    <t>26 , 27, 28</t>
  </si>
  <si>
    <t>Tax receivables</t>
  </si>
  <si>
    <t>Other current receivables</t>
  </si>
  <si>
    <t>Prepayments and accrued income</t>
  </si>
  <si>
    <t>19, 26</t>
  </si>
  <si>
    <t>Cash and cash equivalents</t>
  </si>
  <si>
    <t>20, 26</t>
  </si>
  <si>
    <t>TOTAL CURRENT ASSETS</t>
  </si>
  <si>
    <t>TOTAL ASSETS</t>
  </si>
  <si>
    <t>EQUITY, GROUP</t>
  </si>
  <si>
    <t>Share capital</t>
  </si>
  <si>
    <t>Reserves</t>
  </si>
  <si>
    <t>Hybrid Instrument</t>
  </si>
  <si>
    <t>Retained earnings, incl net income for the period</t>
  </si>
  <si>
    <t>TOTAL EQUITY</t>
  </si>
  <si>
    <t xml:space="preserve">INTEREST-BEARING LIABILITIES </t>
  </si>
  <si>
    <r>
      <t>Liabilities to credit institutions</t>
    </r>
    <r>
      <rPr>
        <sz val="12"/>
        <color theme="0"/>
        <rFont val="Aptos Narrow"/>
        <family val="2"/>
        <scheme val="minor"/>
      </rPr>
      <t>, LT</t>
    </r>
  </si>
  <si>
    <t>24, 26</t>
  </si>
  <si>
    <r>
      <t xml:space="preserve">Covid Tax Deferrels </t>
    </r>
    <r>
      <rPr>
        <sz val="12"/>
        <color theme="0"/>
        <rFont val="Aptos Narrow"/>
        <family val="2"/>
        <scheme val="minor"/>
      </rPr>
      <t>LT</t>
    </r>
  </si>
  <si>
    <t>Non-current lease liabilities</t>
  </si>
  <si>
    <t>8,24</t>
  </si>
  <si>
    <t xml:space="preserve">Provisions for pensions </t>
  </si>
  <si>
    <t xml:space="preserve">TOTAL INTEREST-BEARING LIABILITIES </t>
  </si>
  <si>
    <t>NON-INTEREST BEARING LIABILITIES</t>
  </si>
  <si>
    <t>Other long-term liabilities</t>
  </si>
  <si>
    <t>Deferred tax liability</t>
  </si>
  <si>
    <r>
      <t xml:space="preserve">Other provisions </t>
    </r>
    <r>
      <rPr>
        <sz val="12"/>
        <color theme="0"/>
        <rFont val="Aptos Narrow"/>
        <family val="2"/>
        <scheme val="minor"/>
      </rPr>
      <t>LT</t>
    </r>
  </si>
  <si>
    <t xml:space="preserve">TOTAL LONG-TERM NON-INTEREST-BEARING LIABILITIES </t>
  </si>
  <si>
    <t>TOTAL LONG-TERM LIABILITIES</t>
  </si>
  <si>
    <t xml:space="preserve"> </t>
  </si>
  <si>
    <t>Liabilities to credit institutions</t>
  </si>
  <si>
    <t>Covid Tax Deferrels</t>
  </si>
  <si>
    <t>Current lease liabilities</t>
  </si>
  <si>
    <t xml:space="preserve">TOTAL CURRENT INTEREST-BEARING LIABILITIES </t>
  </si>
  <si>
    <t xml:space="preserve">NON-INTEREST-BEARING LIABILITIES </t>
  </si>
  <si>
    <t>Accounts payable</t>
  </si>
  <si>
    <t>Liabilities to joint ventures</t>
  </si>
  <si>
    <t xml:space="preserve"> 26, 27, 28</t>
  </si>
  <si>
    <t>Tax liabilities</t>
  </si>
  <si>
    <t>Other current liabilities</t>
  </si>
  <si>
    <t>Accrued liabilities and deferred income</t>
  </si>
  <si>
    <t>25, 26</t>
  </si>
  <si>
    <t>Other provisions</t>
  </si>
  <si>
    <t xml:space="preserve">TOTAL CURRENT NON-INTEREST-BEARING LIABILITIES </t>
  </si>
  <si>
    <t>TOTAL CURRENT LIABILITIES</t>
  </si>
  <si>
    <t>TOTAL EQUITY AND LIABILITIES</t>
  </si>
  <si>
    <t>CASHFLOW STATEMENT</t>
  </si>
  <si>
    <t>OPERATING ACTIVITIES</t>
  </si>
  <si>
    <t>Profit after financial items</t>
  </si>
  <si>
    <t>Reversal of non-cash items</t>
  </si>
  <si>
    <t>Taxes paid</t>
  </si>
  <si>
    <t xml:space="preserve">CASH FLOW FROM OPERATING ACTIVITIES BEFORE </t>
  </si>
  <si>
    <t>CHANGES IN WORKING CAPITAL</t>
  </si>
  <si>
    <t>WORKING CAPITAL</t>
  </si>
  <si>
    <t xml:space="preserve">Operating receivables </t>
  </si>
  <si>
    <t>Operating liabilities</t>
  </si>
  <si>
    <t>INVESTING ACTIVITIES</t>
  </si>
  <si>
    <t>Acquisition of intangible assets</t>
  </si>
  <si>
    <t>Acquisition of tangible fixed assets</t>
  </si>
  <si>
    <t>Proceed received sales of fixed assets</t>
  </si>
  <si>
    <t>Disposal/reduction of financial assets</t>
  </si>
  <si>
    <t>CASH FLOW FROM INVESTING ACTIVITIES</t>
  </si>
  <si>
    <t>FINANCING ACTIVITIES</t>
  </si>
  <si>
    <t>Proceeds from borrowings</t>
  </si>
  <si>
    <t>Amortisations of lease liabilities</t>
  </si>
  <si>
    <t>Amortisations of borrowings</t>
  </si>
  <si>
    <t>Change in Covid Tax defferels</t>
  </si>
  <si>
    <t>Amortisations of other provisions</t>
  </si>
  <si>
    <t>CASH FLOW FROM FINANCING ACTIVITIES</t>
  </si>
  <si>
    <t>CASH FLOW FOR THE PERIOD</t>
  </si>
  <si>
    <t>CASH &amp; CASH EQUIVALENTS AT BEGINNING OF PERIOD</t>
  </si>
  <si>
    <t>Exchange differences</t>
  </si>
  <si>
    <t>CASH &amp; CASH EQUIVALENTS AT END OF PERIOD</t>
  </si>
  <si>
    <t>ADJUSTED ITEMS AFFECTING COMPARABILITY</t>
  </si>
  <si>
    <t>Restructuring (mainly KG)</t>
  </si>
  <si>
    <t>Non-recurring items</t>
  </si>
  <si>
    <t>Inventory monetarization</t>
  </si>
  <si>
    <t>Forex revaluation AR/AP</t>
  </si>
  <si>
    <t>Price Timing</t>
  </si>
  <si>
    <t>Inventory Impairment</t>
  </si>
  <si>
    <t>Actuarie Gain/Loss on pension liability</t>
  </si>
  <si>
    <t>Total Adjusted items for comparable reasons</t>
  </si>
  <si>
    <t>z</t>
  </si>
  <si>
    <t>q</t>
  </si>
  <si>
    <t>QUARTERLY OVERVIEW</t>
  </si>
  <si>
    <t>ltm Jun</t>
  </si>
  <si>
    <t>Y o Y - Quarter</t>
  </si>
  <si>
    <t>Y o Y - LTM</t>
  </si>
  <si>
    <t>Y o Y - YTD</t>
  </si>
  <si>
    <t>Full year</t>
  </si>
  <si>
    <t>Q1</t>
  </si>
  <si>
    <t>Q3</t>
  </si>
  <si>
    <t>Q4</t>
  </si>
  <si>
    <r>
      <t xml:space="preserve">Adjusted EBITDA </t>
    </r>
    <r>
      <rPr>
        <vertAlign val="superscript"/>
        <sz val="12"/>
        <rFont val="Aptos Narrow"/>
        <family val="2"/>
        <scheme val="minor"/>
      </rPr>
      <t>1</t>
    </r>
  </si>
  <si>
    <r>
      <t xml:space="preserve">Liquidity, Available </t>
    </r>
    <r>
      <rPr>
        <vertAlign val="superscript"/>
        <sz val="12"/>
        <rFont val="Aptos Narrow"/>
        <family val="2"/>
        <scheme val="minor"/>
      </rPr>
      <t>2</t>
    </r>
  </si>
  <si>
    <t>Operating Cash Flow</t>
  </si>
  <si>
    <t>1) Excluding items affecting comparability (see table at end of report)</t>
  </si>
  <si>
    <t>2) Including unutilized financing facilities and excluding block funds</t>
  </si>
  <si>
    <t>CONDENSED INCOME STATEMENT</t>
  </si>
  <si>
    <r>
      <t>Adjusted EBITDA</t>
    </r>
    <r>
      <rPr>
        <vertAlign val="superscript"/>
        <sz val="12"/>
        <rFont val="Aptos Narrow"/>
        <family val="2"/>
        <scheme val="minor"/>
      </rPr>
      <t xml:space="preserve"> 1</t>
    </r>
  </si>
  <si>
    <t>Depreciation / Disposals / Impairment (Fixed Assest)</t>
  </si>
  <si>
    <t>Depreciation / Disposals / Impairment (Right of Use Assest)</t>
  </si>
  <si>
    <t>NET INCOME FOR THE YEAR</t>
  </si>
  <si>
    <t>CONDENSED STATEMENT OF FINANCIAL POSITION</t>
  </si>
  <si>
    <t>CONDENSED STATEMENT OF CASH FLOWS</t>
  </si>
  <si>
    <t>Total sales (kton)</t>
  </si>
  <si>
    <t>- where of Swap sales</t>
  </si>
  <si>
    <t>Net Sales (kton)</t>
  </si>
  <si>
    <t>Adjusted EBITDA (MUSD)</t>
  </si>
  <si>
    <t>Product Margin (MUSD)</t>
  </si>
  <si>
    <t>Product Margin (USD/ton) *</t>
  </si>
  <si>
    <t>Other Comprehensive Income for the period, net after tax</t>
  </si>
  <si>
    <t>TOTAL NON-CURRENT ASSETS</t>
  </si>
  <si>
    <t>Liabilities to credit institutions, LT</t>
  </si>
  <si>
    <t>Covid Tax Deferrels LT</t>
  </si>
  <si>
    <t>Other provisions LT</t>
  </si>
  <si>
    <t>CASH FLOW FROM OPERATING ACTIVITIES BEFORE  CHANGES IN WORKING CAPITAL</t>
  </si>
  <si>
    <t>Actuarial Gain/Loss on pension liability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</si>
  <si>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</si>
  <si>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</si>
  <si>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</si>
  <si>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</si>
  <si>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</si>
  <si>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</si>
  <si>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</si>
  <si>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</si>
  <si>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</si>
  <si>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Q2 2025</t>
  </si>
  <si>
    <t>Cash flow from operating activities, Harburg</t>
  </si>
  <si>
    <t>Cash flow from operating activities, excl Harburg</t>
  </si>
  <si>
    <t>Paid Lease fees</t>
  </si>
  <si>
    <t>Paid Interest</t>
  </si>
  <si>
    <t>Exit fees and Financial swap deals</t>
  </si>
  <si>
    <t>Paid provisions excl Harburg (excl ReFi)</t>
  </si>
  <si>
    <t>Operating Cash Flow, LTM</t>
  </si>
  <si>
    <t>Bridge Adjusted EBITDA to Net Cash Flow for the period</t>
  </si>
  <si>
    <t>Cash at start of period</t>
  </si>
  <si>
    <t>Changes in working capital (excl. Harburg)</t>
  </si>
  <si>
    <t>Tax paid (excl. Harburg)</t>
  </si>
  <si>
    <t>Price timing</t>
  </si>
  <si>
    <t>FX on AP/AR</t>
  </si>
  <si>
    <t>Lease payments</t>
  </si>
  <si>
    <t>Non-recurring</t>
  </si>
  <si>
    <t>Other</t>
  </si>
  <si>
    <t>Capital expenditure</t>
  </si>
  <si>
    <t>Paid interest</t>
  </si>
  <si>
    <t>Financing items</t>
  </si>
  <si>
    <t>Net borrowings / Repayments (-)</t>
  </si>
  <si>
    <t>Harburg free cash flow (excl internal borrowings)</t>
  </si>
  <si>
    <t>Net cash flow for the period</t>
  </si>
  <si>
    <t>Cash at end of period</t>
  </si>
  <si>
    <t>Net debt development</t>
  </si>
  <si>
    <t>Opening net debt</t>
  </si>
  <si>
    <t>Changes in cash</t>
  </si>
  <si>
    <t>Hybrid</t>
  </si>
  <si>
    <t>Other none-cash items in net debt movements*</t>
  </si>
  <si>
    <t>Closing net debt</t>
  </si>
  <si>
    <t>* = FX effects on loan in foreign currency, PIK interest, New/Amended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</si>
</sst>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#,##0.0000"/>
    <numFmt numFmtId="166" formatCode="#,##0.000"/>
    <numFmt numFmtId="167" formatCode="yyyy\-mm\-dd;@"/>
    <numFmt numFmtId="168" formatCode="#,##0&quot; $/ton&quot;"/>
    <numFmt numFmtId="169" formatCode="&quot;YTD &quot;0"/>
    <numFmt numFmtId="170" formatCode="&quot;LTM &quot;0"/>
    <numFmt numFmtId="171" formatCode="&quot;Q2 &quot;0"/>
    <numFmt numFmtId="172" formatCode="0.0%"/>
  </numFmts>
  <fonts count="34" x14ac:knownFonts="1">
    <font>
      <sz val="10"/>
      <name val="times new roman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name val="Aptos Narrow"/>
      <family val="2"/>
      <scheme val="minor"/>
    </font>
    <font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Times New Roman"/>
      <family val="1"/>
    </font>
    <font>
      <sz val="12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b/>
      <u/>
      <sz val="12"/>
      <name val="Aptos Narrow"/>
      <family val="2"/>
      <scheme val="minor"/>
    </font>
    <font>
      <i/>
      <sz val="12"/>
      <name val="Aptos Narrow"/>
      <family val="2"/>
      <scheme val="minor"/>
    </font>
    <font>
      <sz val="11"/>
      <name val="Aptos Narrow"/>
      <family val="2"/>
      <scheme val="minor"/>
    </font>
    <font>
      <b/>
      <i/>
      <sz val="12"/>
      <name val="Aptos Narrow"/>
      <family val="2"/>
      <scheme val="minor"/>
    </font>
    <font>
      <sz val="10"/>
      <name val="Aptos Narrow"/>
      <family val="2"/>
      <scheme val="minor"/>
    </font>
    <font>
      <u/>
      <sz val="12"/>
      <name val="Aptos Narrow"/>
      <family val="2"/>
      <scheme val="minor"/>
    </font>
    <font>
      <u/>
      <sz val="12"/>
      <color theme="0"/>
      <name val="Aptos Narrow"/>
      <family val="2"/>
      <scheme val="minor"/>
    </font>
    <font>
      <sz val="18"/>
      <name val="Aptos Narrow"/>
      <family val="2"/>
      <scheme val="minor"/>
    </font>
    <font>
      <b/>
      <sz val="11"/>
      <name val="Aptos Narrow"/>
      <family val="2"/>
      <scheme val="minor"/>
    </font>
    <font>
      <i/>
      <sz val="10"/>
      <name val="Aptos Narrow"/>
      <family val="2"/>
      <scheme val="minor"/>
    </font>
    <font>
      <vertAlign val="superscript"/>
      <sz val="12"/>
      <name val="Aptos Narrow"/>
      <family val="2"/>
      <scheme val="minor"/>
    </font>
    <font>
      <sz val="12"/>
      <color rgb="FF0033CC"/>
      <name val="Aptos Narrow"/>
      <family val="2"/>
      <scheme val="minor"/>
    </font>
    <font>
      <sz val="11"/>
      <color theme="1"/>
      <name val="Calibri"/>
      <family val="2"/>
    </font>
    <font>
      <b/>
      <sz val="12"/>
      <color rgb="FF0033CC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0" tint="-4.9989318521683403E-2"/>
      <name val="Aptos Narrow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i/>
      <sz val="9"/>
      <name val="Arial"/>
      <family val="2"/>
    </font>
    <font>
      <sz val="12"/>
      <color theme="0" tint="-0.249977111117893"/>
      <name val="Aptos Narrow"/>
      <family val="2"/>
      <scheme val="minor"/>
    </font>
    <font>
      <b/>
      <sz val="12"/>
      <color theme="0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24" fillId="0" borderId="0"/>
    <xf numFmtId="0" fontId="8" fillId="0" borderId="0"/>
    <xf numFmtId="0" fontId="2" fillId="0" borderId="0"/>
    <xf numFmtId="9" fontId="29" fillId="0" borderId="0" applyFont="0" applyFill="0" applyBorder="0" applyAlignment="0" applyProtection="0"/>
  </cellStyleXfs>
  <cellXfs count="213">
    <xf numFmtId="0" fontId="0" fillId="0" borderId="0" xfId="0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164" fontId="9" fillId="0" borderId="0" xfId="0" applyNumberFormat="1" applyFont="1" applyAlignment="1">
      <alignment horizontal="right"/>
    </xf>
    <xf numFmtId="164" fontId="7" fillId="0" borderId="0" xfId="0" applyNumberFormat="1" applyFont="1"/>
    <xf numFmtId="164" fontId="7" fillId="0" borderId="0" xfId="1" applyNumberFormat="1" applyFont="1"/>
    <xf numFmtId="0" fontId="10" fillId="0" borderId="0" xfId="0" applyFont="1" applyAlignment="1">
      <alignment horizontal="right"/>
    </xf>
    <xf numFmtId="0" fontId="7" fillId="0" borderId="0" xfId="0" applyFont="1"/>
    <xf numFmtId="164" fontId="9" fillId="0" borderId="0" xfId="0" applyNumberFormat="1" applyFont="1"/>
    <xf numFmtId="164" fontId="7" fillId="0" borderId="0" xfId="0" applyNumberFormat="1" applyFont="1" applyAlignment="1">
      <alignment horizontal="right"/>
    </xf>
    <xf numFmtId="0" fontId="6" fillId="0" borderId="0" xfId="0" applyFont="1"/>
    <xf numFmtId="0" fontId="12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3" fontId="6" fillId="0" borderId="2" xfId="0" applyNumberFormat="1" applyFont="1" applyBorder="1"/>
    <xf numFmtId="164" fontId="12" fillId="0" borderId="0" xfId="0" quotePrefix="1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64" fontId="4" fillId="0" borderId="1" xfId="0" applyNumberFormat="1" applyFont="1" applyBorder="1"/>
    <xf numFmtId="164" fontId="5" fillId="0" borderId="1" xfId="0" applyNumberFormat="1" applyFont="1" applyBorder="1"/>
    <xf numFmtId="164" fontId="6" fillId="0" borderId="1" xfId="0" applyNumberFormat="1" applyFont="1" applyBorder="1"/>
    <xf numFmtId="164" fontId="11" fillId="0" borderId="1" xfId="0" applyNumberFormat="1" applyFont="1" applyBorder="1"/>
    <xf numFmtId="164" fontId="6" fillId="0" borderId="3" xfId="0" applyNumberFormat="1" applyFont="1" applyBorder="1"/>
    <xf numFmtId="164" fontId="11" fillId="0" borderId="0" xfId="0" applyNumberFormat="1" applyFont="1"/>
    <xf numFmtId="164" fontId="7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9" fillId="0" borderId="0" xfId="0" quotePrefix="1" applyNumberFormat="1" applyFont="1" applyAlignment="1">
      <alignment horizontal="right"/>
    </xf>
    <xf numFmtId="3" fontId="10" fillId="0" borderId="2" xfId="0" quotePrefix="1" applyNumberFormat="1" applyFont="1" applyBorder="1" applyAlignment="1">
      <alignment horizontal="right"/>
    </xf>
    <xf numFmtId="3" fontId="9" fillId="0" borderId="0" xfId="0" applyNumberFormat="1" applyFont="1" applyAlignment="1">
      <alignment horizontal="center"/>
    </xf>
    <xf numFmtId="164" fontId="13" fillId="0" borderId="0" xfId="0" applyNumberFormat="1" applyFont="1"/>
    <xf numFmtId="164" fontId="14" fillId="0" borderId="2" xfId="0" applyNumberFormat="1" applyFont="1" applyBorder="1"/>
    <xf numFmtId="164" fontId="13" fillId="0" borderId="2" xfId="0" applyNumberFormat="1" applyFont="1" applyBorder="1"/>
    <xf numFmtId="164" fontId="15" fillId="0" borderId="2" xfId="0" applyNumberFormat="1" applyFont="1" applyBorder="1"/>
    <xf numFmtId="164" fontId="15" fillId="0" borderId="0" xfId="0" applyNumberFormat="1" applyFont="1"/>
    <xf numFmtId="3" fontId="7" fillId="0" borderId="0" xfId="0" applyNumberFormat="1" applyFont="1"/>
    <xf numFmtId="0" fontId="16" fillId="0" borderId="0" xfId="0" applyFont="1"/>
    <xf numFmtId="0" fontId="10" fillId="0" borderId="0" xfId="0" applyFont="1" applyAlignment="1">
      <alignment horizontal="center"/>
    </xf>
    <xf numFmtId="167" fontId="17" fillId="0" borderId="0" xfId="0" quotePrefix="1" applyNumberFormat="1" applyFont="1"/>
    <xf numFmtId="164" fontId="17" fillId="0" borderId="0" xfId="0" applyNumberFormat="1" applyFont="1"/>
    <xf numFmtId="164" fontId="18" fillId="0" borderId="0" xfId="0" applyNumberFormat="1" applyFont="1"/>
    <xf numFmtId="164" fontId="10" fillId="0" borderId="2" xfId="0" applyNumberFormat="1" applyFont="1" applyBorder="1" applyAlignment="1">
      <alignment horizontal="right"/>
    </xf>
    <xf numFmtId="3" fontId="7" fillId="0" borderId="2" xfId="0" applyNumberFormat="1" applyFont="1" applyBorder="1"/>
    <xf numFmtId="3" fontId="6" fillId="0" borderId="0" xfId="0" quotePrefix="1" applyNumberFormat="1" applyFont="1"/>
    <xf numFmtId="166" fontId="6" fillId="0" borderId="0" xfId="0" applyNumberFormat="1" applyFont="1"/>
    <xf numFmtId="167" fontId="17" fillId="0" borderId="0" xfId="0" quotePrefix="1" applyNumberFormat="1" applyFont="1" applyAlignment="1">
      <alignment horizontal="center"/>
    </xf>
    <xf numFmtId="166" fontId="7" fillId="0" borderId="0" xfId="0" applyNumberFormat="1" applyFont="1"/>
    <xf numFmtId="1" fontId="9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64" fontId="7" fillId="0" borderId="2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164" fontId="9" fillId="0" borderId="2" xfId="0" applyNumberFormat="1" applyFont="1" applyBorder="1" applyAlignment="1">
      <alignment horizontal="right"/>
    </xf>
    <xf numFmtId="164" fontId="20" fillId="0" borderId="2" xfId="0" applyNumberFormat="1" applyFont="1" applyBorder="1"/>
    <xf numFmtId="164" fontId="20" fillId="0" borderId="0" xfId="0" applyNumberFormat="1" applyFont="1"/>
    <xf numFmtId="3" fontId="6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3" fontId="9" fillId="0" borderId="2" xfId="0" applyNumberFormat="1" applyFont="1" applyBorder="1" applyAlignment="1">
      <alignment horizontal="right"/>
    </xf>
    <xf numFmtId="164" fontId="6" fillId="0" borderId="0" xfId="1" applyNumberFormat="1" applyFont="1"/>
    <xf numFmtId="1" fontId="8" fillId="0" borderId="0" xfId="1" applyNumberFormat="1" applyAlignment="1">
      <alignment horizontal="center"/>
    </xf>
    <xf numFmtId="3" fontId="6" fillId="0" borderId="0" xfId="1" applyNumberFormat="1" applyFont="1"/>
    <xf numFmtId="164" fontId="4" fillId="0" borderId="0" xfId="1" applyNumberFormat="1" applyFont="1"/>
    <xf numFmtId="164" fontId="9" fillId="0" borderId="0" xfId="1" applyNumberFormat="1" applyFont="1" applyAlignment="1">
      <alignment horizontal="right"/>
    </xf>
    <xf numFmtId="3" fontId="7" fillId="0" borderId="0" xfId="1" applyNumberFormat="1" applyFont="1"/>
    <xf numFmtId="164" fontId="6" fillId="0" borderId="0" xfId="1" applyNumberFormat="1" applyFont="1" applyAlignment="1">
      <alignment horizontal="right"/>
    </xf>
    <xf numFmtId="164" fontId="13" fillId="0" borderId="0" xfId="1" applyNumberFormat="1" applyFont="1"/>
    <xf numFmtId="164" fontId="17" fillId="0" borderId="0" xfId="1" applyNumberFormat="1" applyFont="1"/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7" fillId="0" borderId="2" xfId="0" applyNumberFormat="1" applyFont="1" applyBorder="1" applyAlignment="1">
      <alignment horizontal="right"/>
    </xf>
    <xf numFmtId="164" fontId="6" fillId="0" borderId="0" xfId="1" applyNumberFormat="1" applyFont="1" applyAlignment="1">
      <alignment horizontal="center" vertical="center"/>
    </xf>
    <xf numFmtId="3" fontId="6" fillId="2" borderId="0" xfId="0" applyNumberFormat="1" applyFont="1" applyFill="1" applyAlignment="1">
      <alignment horizontal="right"/>
    </xf>
    <xf numFmtId="3" fontId="23" fillId="2" borderId="0" xfId="0" applyNumberFormat="1" applyFont="1" applyFill="1" applyAlignment="1">
      <alignment horizontal="right"/>
    </xf>
    <xf numFmtId="0" fontId="7" fillId="2" borderId="0" xfId="0" applyFont="1" applyFill="1"/>
    <xf numFmtId="164" fontId="6" fillId="2" borderId="0" xfId="0" applyNumberFormat="1" applyFont="1" applyFill="1"/>
    <xf numFmtId="164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2" borderId="0" xfId="0" applyFont="1" applyFill="1"/>
    <xf numFmtId="0" fontId="6" fillId="2" borderId="3" xfId="0" applyFont="1" applyFill="1" applyBorder="1"/>
    <xf numFmtId="164" fontId="6" fillId="2" borderId="3" xfId="0" applyNumberFormat="1" applyFont="1" applyFill="1" applyBorder="1"/>
    <xf numFmtId="3" fontId="6" fillId="2" borderId="3" xfId="0" applyNumberFormat="1" applyFont="1" applyFill="1" applyBorder="1" applyAlignment="1">
      <alignment horizontal="right"/>
    </xf>
    <xf numFmtId="164" fontId="7" fillId="2" borderId="0" xfId="0" applyNumberFormat="1" applyFont="1" applyFill="1"/>
    <xf numFmtId="164" fontId="23" fillId="2" borderId="0" xfId="0" applyNumberFormat="1" applyFont="1" applyFill="1"/>
    <xf numFmtId="3" fontId="7" fillId="2" borderId="0" xfId="0" applyNumberFormat="1" applyFont="1" applyFill="1" applyAlignment="1">
      <alignment horizontal="right"/>
    </xf>
    <xf numFmtId="164" fontId="13" fillId="0" borderId="0" xfId="0" applyNumberFormat="1" applyFont="1" applyAlignment="1">
      <alignment horizontal="right"/>
    </xf>
    <xf numFmtId="164" fontId="10" fillId="0" borderId="2" xfId="0" applyNumberFormat="1" applyFont="1" applyBorder="1"/>
    <xf numFmtId="164" fontId="9" fillId="0" borderId="0" xfId="0" quotePrefix="1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1" fontId="9" fillId="0" borderId="0" xfId="0" quotePrefix="1" applyNumberFormat="1" applyFont="1" applyAlignment="1">
      <alignment horizontal="right"/>
    </xf>
    <xf numFmtId="3" fontId="12" fillId="0" borderId="2" xfId="0" applyNumberFormat="1" applyFont="1" applyBorder="1"/>
    <xf numFmtId="3" fontId="17" fillId="0" borderId="2" xfId="0" applyNumberFormat="1" applyFont="1" applyBorder="1"/>
    <xf numFmtId="3" fontId="16" fillId="0" borderId="0" xfId="0" applyNumberFormat="1" applyFont="1"/>
    <xf numFmtId="164" fontId="25" fillId="2" borderId="0" xfId="0" applyNumberFormat="1" applyFont="1" applyFill="1"/>
    <xf numFmtId="164" fontId="7" fillId="2" borderId="3" xfId="0" applyNumberFormat="1" applyFont="1" applyFill="1" applyBorder="1" applyAlignment="1">
      <alignment horizontal="centerContinuous"/>
    </xf>
    <xf numFmtId="164" fontId="7" fillId="0" borderId="0" xfId="1" applyNumberFormat="1" applyFont="1" applyAlignment="1">
      <alignment horizontal="center" vertical="center"/>
    </xf>
    <xf numFmtId="3" fontId="0" fillId="0" borderId="0" xfId="0" applyNumberFormat="1"/>
    <xf numFmtId="0" fontId="7" fillId="2" borderId="0" xfId="4" applyFont="1" applyFill="1"/>
    <xf numFmtId="0" fontId="6" fillId="2" borderId="0" xfId="4" applyFont="1" applyFill="1"/>
    <xf numFmtId="3" fontId="7" fillId="2" borderId="0" xfId="4" applyNumberFormat="1" applyFont="1" applyFill="1" applyAlignment="1">
      <alignment horizontal="center"/>
    </xf>
    <xf numFmtId="169" fontId="12" fillId="0" borderId="0" xfId="0" applyNumberFormat="1" applyFont="1" applyAlignment="1">
      <alignment horizontal="right"/>
    </xf>
    <xf numFmtId="171" fontId="12" fillId="0" borderId="0" xfId="0" applyNumberFormat="1" applyFont="1" applyAlignment="1">
      <alignment horizontal="right"/>
    </xf>
    <xf numFmtId="170" fontId="12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/>
    <xf numFmtId="164" fontId="28" fillId="2" borderId="0" xfId="0" applyNumberFormat="1" applyFont="1" applyFill="1" applyAlignment="1">
      <alignment horizontal="right"/>
    </xf>
    <xf numFmtId="164" fontId="28" fillId="2" borderId="0" xfId="0" applyNumberFormat="1" applyFont="1" applyFill="1"/>
    <xf numFmtId="171" fontId="12" fillId="2" borderId="0" xfId="0" applyNumberFormat="1" applyFont="1" applyFill="1" applyAlignment="1">
      <alignment horizontal="right"/>
    </xf>
    <xf numFmtId="169" fontId="12" fillId="2" borderId="0" xfId="0" applyNumberFormat="1" applyFont="1" applyFill="1" applyAlignment="1">
      <alignment horizontal="right"/>
    </xf>
    <xf numFmtId="170" fontId="12" fillId="2" borderId="0" xfId="0" applyNumberFormat="1" applyFont="1" applyFill="1" applyAlignment="1">
      <alignment horizontal="right"/>
    </xf>
    <xf numFmtId="164" fontId="27" fillId="2" borderId="0" xfId="0" applyNumberFormat="1" applyFont="1" applyFill="1"/>
    <xf numFmtId="168" fontId="6" fillId="2" borderId="0" xfId="0" applyNumberFormat="1" applyFont="1" applyFill="1" applyAlignment="1">
      <alignment horizontal="right"/>
    </xf>
    <xf numFmtId="3" fontId="6" fillId="2" borderId="0" xfId="4" applyNumberFormat="1" applyFont="1" applyFill="1" applyAlignment="1">
      <alignment horizontal="center"/>
    </xf>
    <xf numFmtId="0" fontId="30" fillId="2" borderId="0" xfId="1" quotePrefix="1" applyFont="1" applyFill="1"/>
    <xf numFmtId="9" fontId="6" fillId="0" borderId="0" xfId="5" applyFont="1" applyAlignment="1">
      <alignment horizontal="center"/>
    </xf>
    <xf numFmtId="0" fontId="31" fillId="2" borderId="0" xfId="1" quotePrefix="1" applyFont="1" applyFill="1"/>
    <xf numFmtId="0" fontId="14" fillId="2" borderId="0" xfId="4" applyFont="1" applyFill="1"/>
    <xf numFmtId="164" fontId="33" fillId="2" borderId="0" xfId="1" applyNumberFormat="1" applyFont="1" applyFill="1" applyAlignment="1">
      <alignment horizontal="center" vertical="center"/>
    </xf>
    <xf numFmtId="164" fontId="32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right"/>
    </xf>
    <xf numFmtId="0" fontId="6" fillId="0" borderId="0" xfId="1" applyFont="1"/>
    <xf numFmtId="164" fontId="21" fillId="0" borderId="0" xfId="1" applyNumberFormat="1" applyFont="1" applyAlignment="1">
      <alignment horizontal="right"/>
    </xf>
    <xf numFmtId="0" fontId="7" fillId="0" borderId="0" xfId="1" applyFont="1"/>
    <xf numFmtId="3" fontId="21" fillId="0" borderId="0" xfId="1" applyNumberFormat="1" applyFont="1" applyAlignment="1">
      <alignment horizontal="right"/>
    </xf>
    <xf numFmtId="165" fontId="21" fillId="0" borderId="0" xfId="1" applyNumberFormat="1" applyFont="1" applyAlignment="1">
      <alignment horizontal="right"/>
    </xf>
    <xf numFmtId="0" fontId="6" fillId="0" borderId="2" xfId="1" applyFont="1" applyBorder="1"/>
    <xf numFmtId="3" fontId="6" fillId="0" borderId="2" xfId="1" applyNumberFormat="1" applyFont="1" applyBorder="1"/>
    <xf numFmtId="3" fontId="6" fillId="0" borderId="2" xfId="1" applyNumberFormat="1" applyFont="1" applyBorder="1" applyAlignment="1">
      <alignment horizontal="right"/>
    </xf>
    <xf numFmtId="164" fontId="12" fillId="0" borderId="0" xfId="1" quotePrefix="1" applyNumberFormat="1" applyFont="1" applyAlignment="1">
      <alignment horizontal="right"/>
    </xf>
    <xf numFmtId="0" fontId="12" fillId="0" borderId="0" xfId="1" applyFont="1" applyAlignment="1">
      <alignment horizontal="right"/>
    </xf>
    <xf numFmtId="164" fontId="7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164" fontId="4" fillId="0" borderId="1" xfId="1" applyNumberFormat="1" applyFont="1" applyBorder="1"/>
    <xf numFmtId="164" fontId="6" fillId="0" borderId="1" xfId="1" applyNumberFormat="1" applyFont="1" applyBorder="1"/>
    <xf numFmtId="164" fontId="6" fillId="0" borderId="0" xfId="1" applyNumberFormat="1" applyFont="1" applyAlignment="1">
      <alignment horizontal="center"/>
    </xf>
    <xf numFmtId="164" fontId="7" fillId="0" borderId="2" xfId="1" applyNumberFormat="1" applyFont="1" applyBorder="1"/>
    <xf numFmtId="3" fontId="7" fillId="0" borderId="2" xfId="1" applyNumberFormat="1" applyFont="1" applyBorder="1"/>
    <xf numFmtId="164" fontId="14" fillId="0" borderId="2" xfId="1" applyNumberFormat="1" applyFont="1" applyBorder="1"/>
    <xf numFmtId="164" fontId="6" fillId="0" borderId="2" xfId="1" applyNumberFormat="1" applyFont="1" applyBorder="1"/>
    <xf numFmtId="165" fontId="6" fillId="0" borderId="0" xfId="1" applyNumberFormat="1" applyFont="1"/>
    <xf numFmtId="167" fontId="17" fillId="0" borderId="0" xfId="1" quotePrefix="1" applyNumberFormat="1" applyFont="1"/>
    <xf numFmtId="3" fontId="6" fillId="0" borderId="0" xfId="1" quotePrefix="1" applyNumberFormat="1" applyFont="1"/>
    <xf numFmtId="166" fontId="6" fillId="0" borderId="0" xfId="1" applyNumberFormat="1" applyFont="1"/>
    <xf numFmtId="167" fontId="17" fillId="0" borderId="0" xfId="1" quotePrefix="1" applyNumberFormat="1" applyFont="1" applyAlignment="1">
      <alignment horizontal="center"/>
    </xf>
    <xf numFmtId="164" fontId="6" fillId="0" borderId="3" xfId="1" applyNumberFormat="1" applyFont="1" applyBorder="1"/>
    <xf numFmtId="164" fontId="19" fillId="0" borderId="0" xfId="1" applyNumberFormat="1" applyFont="1"/>
    <xf numFmtId="0" fontId="16" fillId="0" borderId="0" xfId="1" applyFont="1"/>
    <xf numFmtId="164" fontId="6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horizontal="right"/>
    </xf>
    <xf numFmtId="166" fontId="7" fillId="0" borderId="0" xfId="1" applyNumberFormat="1" applyFont="1"/>
    <xf numFmtId="0" fontId="21" fillId="0" borderId="0" xfId="1" applyFont="1"/>
    <xf numFmtId="0" fontId="21" fillId="0" borderId="0" xfId="0" applyFont="1"/>
    <xf numFmtId="0" fontId="13" fillId="0" borderId="0" xfId="0" quotePrefix="1" applyFont="1"/>
    <xf numFmtId="1" fontId="7" fillId="0" borderId="0" xfId="1" applyNumberFormat="1" applyFont="1" applyAlignment="1">
      <alignment horizontal="right"/>
    </xf>
    <xf numFmtId="0" fontId="2" fillId="2" borderId="0" xfId="4" applyFill="1"/>
    <xf numFmtId="0" fontId="26" fillId="2" borderId="3" xfId="4" applyFont="1" applyFill="1" applyBorder="1"/>
    <xf numFmtId="0" fontId="7" fillId="2" borderId="0" xfId="4" applyFont="1" applyFill="1" applyAlignment="1">
      <alignment horizontal="center"/>
    </xf>
    <xf numFmtId="0" fontId="26" fillId="2" borderId="0" xfId="4" applyFont="1" applyFill="1"/>
    <xf numFmtId="3" fontId="20" fillId="2" borderId="4" xfId="4" applyNumberFormat="1" applyFont="1" applyFill="1" applyBorder="1" applyAlignment="1">
      <alignment horizontal="center"/>
    </xf>
    <xf numFmtId="3" fontId="26" fillId="2" borderId="4" xfId="4" applyNumberFormat="1" applyFont="1" applyFill="1" applyBorder="1" applyAlignment="1">
      <alignment horizontal="center"/>
    </xf>
    <xf numFmtId="0" fontId="26" fillId="2" borderId="4" xfId="4" applyFont="1" applyFill="1" applyBorder="1"/>
    <xf numFmtId="3" fontId="2" fillId="2" borderId="0" xfId="4" applyNumberFormat="1" applyFill="1" applyAlignment="1">
      <alignment horizontal="center"/>
    </xf>
    <xf numFmtId="0" fontId="1" fillId="2" borderId="0" xfId="4" applyFont="1" applyFill="1"/>
    <xf numFmtId="166" fontId="2" fillId="2" borderId="0" xfId="4" applyNumberFormat="1" applyFill="1" applyAlignment="1">
      <alignment horizontal="center"/>
    </xf>
    <xf numFmtId="164" fontId="11" fillId="2" borderId="3" xfId="4" applyNumberFormat="1" applyFont="1" applyFill="1" applyBorder="1" applyAlignment="1">
      <alignment horizontal="left"/>
    </xf>
    <xf numFmtId="0" fontId="7" fillId="2" borderId="3" xfId="4" applyFont="1" applyFill="1" applyBorder="1" applyAlignment="1">
      <alignment horizontal="center"/>
    </xf>
    <xf numFmtId="1" fontId="14" fillId="2" borderId="0" xfId="4" applyNumberFormat="1" applyFont="1" applyFill="1" applyAlignment="1">
      <alignment horizontal="center"/>
    </xf>
    <xf numFmtId="1" fontId="20" fillId="2" borderId="0" xfId="4" applyNumberFormat="1" applyFont="1" applyFill="1" applyAlignment="1">
      <alignment horizontal="center"/>
    </xf>
    <xf numFmtId="0" fontId="0" fillId="0" borderId="0" xfId="0" applyAlignment="1">
      <alignment horizontal="centerContinuous"/>
    </xf>
    <xf numFmtId="164" fontId="7" fillId="0" borderId="0" xfId="1" applyNumberFormat="1" applyFont="1" applyAlignment="1">
      <alignment horizontal="centerContinuous"/>
    </xf>
    <xf numFmtId="164" fontId="7" fillId="2" borderId="0" xfId="1" applyNumberFormat="1" applyFont="1" applyFill="1" applyAlignment="1">
      <alignment horizontal="right"/>
    </xf>
    <xf numFmtId="164" fontId="6" fillId="2" borderId="0" xfId="1" applyNumberFormat="1" applyFont="1" applyFill="1"/>
    <xf numFmtId="1" fontId="7" fillId="2" borderId="0" xfId="1" applyNumberFormat="1" applyFont="1" applyFill="1" applyAlignment="1">
      <alignment horizontal="right"/>
    </xf>
    <xf numFmtId="170" fontId="7" fillId="2" borderId="0" xfId="1" applyNumberFormat="1" applyFont="1" applyFill="1" applyAlignment="1">
      <alignment horizontal="right"/>
    </xf>
    <xf numFmtId="169" fontId="7" fillId="2" borderId="0" xfId="1" applyNumberFormat="1" applyFont="1" applyFill="1" applyAlignment="1">
      <alignment horizontal="right"/>
    </xf>
    <xf numFmtId="3" fontId="6" fillId="2" borderId="0" xfId="1" applyNumberFormat="1" applyFont="1" applyFill="1" applyAlignment="1">
      <alignment horizontal="right"/>
    </xf>
    <xf numFmtId="164" fontId="21" fillId="2" borderId="0" xfId="1" applyNumberFormat="1" applyFont="1" applyFill="1" applyAlignment="1">
      <alignment horizontal="right"/>
    </xf>
    <xf numFmtId="165" fontId="21" fillId="2" borderId="0" xfId="1" applyNumberFormat="1" applyFont="1" applyFill="1" applyAlignment="1">
      <alignment horizontal="right"/>
    </xf>
    <xf numFmtId="164" fontId="7" fillId="2" borderId="0" xfId="1" applyNumberFormat="1" applyFont="1" applyFill="1"/>
    <xf numFmtId="3" fontId="7" fillId="2" borderId="0" xfId="1" applyNumberFormat="1" applyFont="1" applyFill="1"/>
    <xf numFmtId="3" fontId="6" fillId="2" borderId="0" xfId="1" applyNumberFormat="1" applyFont="1" applyFill="1"/>
    <xf numFmtId="3" fontId="6" fillId="2" borderId="2" xfId="1" applyNumberFormat="1" applyFont="1" applyFill="1" applyBorder="1"/>
    <xf numFmtId="3" fontId="6" fillId="2" borderId="2" xfId="1" applyNumberFormat="1" applyFont="1" applyFill="1" applyBorder="1" applyAlignment="1">
      <alignment horizontal="right"/>
    </xf>
    <xf numFmtId="164" fontId="12" fillId="2" borderId="0" xfId="1" quotePrefix="1" applyNumberFormat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4" fontId="6" fillId="2" borderId="0" xfId="1" applyNumberFormat="1" applyFont="1" applyFill="1" applyAlignment="1">
      <alignment horizontal="right"/>
    </xf>
    <xf numFmtId="172" fontId="6" fillId="2" borderId="0" xfId="5" applyNumberFormat="1" applyFont="1" applyFill="1"/>
    <xf numFmtId="3" fontId="7" fillId="2" borderId="2" xfId="1" applyNumberFormat="1" applyFont="1" applyFill="1" applyBorder="1"/>
    <xf numFmtId="3" fontId="6" fillId="2" borderId="0" xfId="1" quotePrefix="1" applyNumberFormat="1" applyFont="1" applyFill="1"/>
    <xf numFmtId="164" fontId="19" fillId="2" borderId="0" xfId="1" applyNumberFormat="1" applyFont="1" applyFill="1"/>
    <xf numFmtId="3" fontId="7" fillId="2" borderId="2" xfId="1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164" fontId="6" fillId="3" borderId="0" xfId="1" applyNumberFormat="1" applyFont="1" applyFill="1" applyAlignment="1">
      <alignment horizontal="center" vertical="center"/>
    </xf>
    <xf numFmtId="164" fontId="6" fillId="3" borderId="0" xfId="1" applyNumberFormat="1" applyFont="1" applyFill="1"/>
    <xf numFmtId="164" fontId="7" fillId="3" borderId="0" xfId="1" applyNumberFormat="1" applyFont="1" applyFill="1"/>
    <xf numFmtId="3" fontId="7" fillId="3" borderId="0" xfId="1" applyNumberFormat="1" applyFont="1" applyFill="1"/>
    <xf numFmtId="3" fontId="6" fillId="3" borderId="0" xfId="1" applyNumberFormat="1" applyFont="1" applyFill="1"/>
    <xf numFmtId="164" fontId="13" fillId="3" borderId="0" xfId="1" applyNumberFormat="1" applyFont="1" applyFill="1"/>
    <xf numFmtId="164" fontId="6" fillId="3" borderId="0" xfId="1" applyNumberFormat="1" applyFont="1" applyFill="1" applyAlignment="1">
      <alignment horizontal="right"/>
    </xf>
    <xf numFmtId="164" fontId="17" fillId="3" borderId="0" xfId="1" applyNumberFormat="1" applyFont="1" applyFill="1"/>
    <xf numFmtId="164" fontId="6" fillId="3" borderId="0" xfId="1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7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7" fillId="0" borderId="0" xfId="1" applyNumberFormat="1" applyFont="1" applyAlignment="1">
      <alignment horizontal="center" vertical="center"/>
    </xf>
    <xf numFmtId="0" fontId="8" fillId="0" borderId="0" xfId="1" applyAlignment="1">
      <alignment horizontal="center" vertical="center"/>
    </xf>
  </cellXfs>
  <cellStyles count="6">
    <cellStyle name="Normal" xfId="0" builtinId="0"/>
    <cellStyle name="Normal 10" xfId="2" xr:uid="{48BDA931-8054-4531-8CF7-453721FC7BB7}"/>
    <cellStyle name="Normal 2" xfId="1" xr:uid="{6F09DBA7-99F8-4450-877E-8CE14CC8048F}"/>
    <cellStyle name="Normal 2 5" xfId="3" xr:uid="{B87E497C-F8A9-4D1A-935E-62D50940B840}"/>
    <cellStyle name="Normal 3" xfId="4" xr:uid="{F01F38D0-C447-4364-AE56-ECBABBD1735D}"/>
    <cellStyle name="Percent" xfId="5" builtinId="5"/>
  </cellStyles>
  <dxfs count="1"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0033CC"/>
      <color rgb="FFFFCCFF"/>
      <color rgb="FF66FFCC"/>
      <color rgb="FF00CC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609600</xdr:colOff>
      <xdr:row>163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5B38C54-47BD-473C-965B-685616CBF50B}"/>
            </a:ext>
          </a:extLst>
        </xdr:cNvPr>
        <xdr:cNvSpPr txBox="1"/>
      </xdr:nvSpPr>
      <xdr:spPr>
        <a:xfrm>
          <a:off x="10506075" y="2394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609600</xdr:colOff>
      <xdr:row>163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C0E42A-E3E2-47C5-B5AD-BA1123E201F7}"/>
            </a:ext>
          </a:extLst>
        </xdr:cNvPr>
        <xdr:cNvSpPr txBox="1"/>
      </xdr:nvSpPr>
      <xdr:spPr>
        <a:xfrm>
          <a:off x="9953625" y="2878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609600</xdr:colOff>
      <xdr:row>159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76A0C91-26EF-4526-A433-D4574A0FB127}"/>
            </a:ext>
          </a:extLst>
        </xdr:cNvPr>
        <xdr:cNvSpPr txBox="1"/>
      </xdr:nvSpPr>
      <xdr:spPr>
        <a:xfrm>
          <a:off x="7096125" y="2498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609600</xdr:colOff>
      <xdr:row>159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B689A3-2BAE-4D6E-B6D8-44CF3439283C}"/>
            </a:ext>
          </a:extLst>
        </xdr:cNvPr>
        <xdr:cNvSpPr txBox="1"/>
      </xdr:nvSpPr>
      <xdr:spPr>
        <a:xfrm>
          <a:off x="10563225" y="2498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609600</xdr:colOff>
      <xdr:row>159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9EEB98D-C8B2-4A8E-8D98-FD2566CAABB8}"/>
            </a:ext>
          </a:extLst>
        </xdr:cNvPr>
        <xdr:cNvSpPr txBox="1"/>
      </xdr:nvSpPr>
      <xdr:spPr>
        <a:xfrm>
          <a:off x="9906000" y="2498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609600</xdr:colOff>
      <xdr:row>159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746C624-8A98-4E4D-85B8-A9BA6058DBE1}"/>
            </a:ext>
          </a:extLst>
        </xdr:cNvPr>
        <xdr:cNvSpPr txBox="1"/>
      </xdr:nvSpPr>
      <xdr:spPr>
        <a:xfrm>
          <a:off x="14658975" y="3079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609600</xdr:colOff>
      <xdr:row>159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566E79E-E010-4E88-89E1-F7273755B3E6}"/>
            </a:ext>
          </a:extLst>
        </xdr:cNvPr>
        <xdr:cNvSpPr txBox="1"/>
      </xdr:nvSpPr>
      <xdr:spPr>
        <a:xfrm>
          <a:off x="14658975" y="3079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609600</xdr:colOff>
      <xdr:row>159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A482579-B3E2-4518-A540-75C578AC33A1}"/>
            </a:ext>
          </a:extLst>
        </xdr:cNvPr>
        <xdr:cNvSpPr txBox="1"/>
      </xdr:nvSpPr>
      <xdr:spPr>
        <a:xfrm>
          <a:off x="14658975" y="3079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609600</xdr:colOff>
      <xdr:row>159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653813A-C5DF-40A2-A145-F38E973E15A0}"/>
            </a:ext>
          </a:extLst>
        </xdr:cNvPr>
        <xdr:cNvSpPr txBox="1"/>
      </xdr:nvSpPr>
      <xdr:spPr>
        <a:xfrm>
          <a:off x="14544675" y="3079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609600</xdr:colOff>
      <xdr:row>159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103C864-95ED-483C-A3CF-1FEC54D9D97B}"/>
            </a:ext>
          </a:extLst>
        </xdr:cNvPr>
        <xdr:cNvSpPr txBox="1"/>
      </xdr:nvSpPr>
      <xdr:spPr>
        <a:xfrm>
          <a:off x="14430375" y="3079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DEC7-B3A5-42CD-8D97-932469771E22}">
  <sheetPr>
    <pageSetUpPr fitToPage="1"/>
  </sheetPr>
  <dimension ref="B1:R486"/>
  <sheetViews>
    <sheetView showGridLines="0" zoomScaleNormal="100" workbookViewId="0">
      <pane ySplit="3" topLeftCell="A4" activePane="bottomLeft" state="frozen"/>
      <selection activeCell="A4" sqref="A4"/>
      <selection pane="bottomLeft" activeCell="C1" sqref="C1"/>
    </sheetView>
  </sheetViews>
  <sheetFormatPr defaultColWidth="9.33203125" defaultRowHeight="15.75" x14ac:dyDescent="0.25"/>
  <cols>
    <col min="1" max="1" width="9.33203125" style="5"/>
    <col min="2" max="2" width="9.6640625" style="5" customWidth="1"/>
    <col min="3" max="3" width="14.1640625" style="5" customWidth="1"/>
    <col min="4" max="4" width="33.5" style="5" customWidth="1"/>
    <col min="5" max="5" width="22.1640625" style="5" customWidth="1"/>
    <col min="6" max="6" width="20.1640625" style="5" customWidth="1"/>
    <col min="7" max="7" width="23.33203125" style="5" bestFit="1" customWidth="1"/>
    <col min="8" max="8" width="22.83203125" style="5" customWidth="1"/>
    <col min="9" max="9" width="15.6640625" style="5" customWidth="1"/>
    <col min="10" max="10" width="17.83203125" style="5" customWidth="1"/>
    <col min="11" max="11" width="22.83203125" style="5" customWidth="1"/>
    <col min="12" max="12" width="15.1640625" style="5" customWidth="1"/>
    <col min="13" max="13" width="22.83203125" style="5" customWidth="1"/>
    <col min="14" max="14" width="15.1640625" style="5" customWidth="1"/>
    <col min="15" max="15" width="20.5" style="5" customWidth="1"/>
    <col min="16" max="16" width="13.83203125" style="5" customWidth="1"/>
    <col min="17" max="16384" width="9.33203125" style="5"/>
  </cols>
  <sheetData>
    <row r="1" spans="2:14" ht="24" x14ac:dyDescent="0.4">
      <c r="B1" s="3" t="s">
        <v>0</v>
      </c>
      <c r="C1" s="4"/>
    </row>
    <row r="2" spans="2:14" x14ac:dyDescent="0.25">
      <c r="H2" s="10"/>
      <c r="I2" s="10"/>
      <c r="J2" s="10"/>
      <c r="K2" s="7"/>
    </row>
    <row r="3" spans="2:14" x14ac:dyDescent="0.25">
      <c r="B3" s="8" t="s">
        <v>1</v>
      </c>
      <c r="H3" s="10"/>
      <c r="I3" s="10"/>
      <c r="J3" s="10"/>
      <c r="K3" s="10"/>
      <c r="L3" s="10"/>
      <c r="N3" s="10"/>
    </row>
    <row r="4" spans="2:14" x14ac:dyDescent="0.25">
      <c r="I4" s="207"/>
      <c r="J4" s="208"/>
      <c r="K4" s="7"/>
    </row>
    <row r="5" spans="2:14" x14ac:dyDescent="0.25">
      <c r="B5" s="10" t="s">
        <v>2</v>
      </c>
      <c r="F5" s="109" t="s">
        <v>3</v>
      </c>
      <c r="G5" s="109" t="s">
        <v>3</v>
      </c>
      <c r="H5" s="11"/>
      <c r="I5" s="109" t="s">
        <v>3</v>
      </c>
      <c r="J5" s="109" t="s">
        <v>3</v>
      </c>
      <c r="K5" s="110"/>
      <c r="L5" s="109" t="s">
        <v>4</v>
      </c>
      <c r="M5" s="109" t="s">
        <v>4</v>
      </c>
    </row>
    <row r="6" spans="2:14" x14ac:dyDescent="0.25">
      <c r="B6" s="13"/>
      <c r="F6" s="107" t="str">
        <f>'Nynas Group_Quarterly overview'!S6&amp;" "&amp;'Nynas Group_Quarterly overview'!S7</f>
        <v>Q2 2025</v>
      </c>
      <c r="G6" s="107" t="str">
        <f>'Nynas Group_Quarterly overview'!T6&amp;" "&amp;'Nynas Group_Quarterly overview'!T7</f>
        <v>Q2 2024</v>
      </c>
      <c r="I6" s="106">
        <f>+'Nynas Group_Quarterly overview'!Y7</f>
        <v>2025</v>
      </c>
      <c r="J6" s="106">
        <f>+'Nynas Group_Quarterly overview'!Z7</f>
        <v>2024</v>
      </c>
      <c r="K6" s="7"/>
      <c r="L6" s="108">
        <f>+'Nynas Group_Quarterly overview'!V7</f>
        <v>2025</v>
      </c>
      <c r="M6" s="108">
        <f>+'Nynas Group_Quarterly overview'!W7</f>
        <v>2024</v>
      </c>
    </row>
    <row r="7" spans="2:14" x14ac:dyDescent="0.25">
      <c r="B7" s="13" t="s">
        <v>5</v>
      </c>
      <c r="F7" s="2">
        <f>+'Nynas Group_Quarterly overview'!S10</f>
        <v>4160.8924920259997</v>
      </c>
      <c r="G7" s="2">
        <f>+'Nynas Group_Quarterly overview'!T10</f>
        <v>4528.6579999999994</v>
      </c>
      <c r="I7" s="2">
        <f>+'Nynas Group_Quarterly overview'!Y10</f>
        <v>7004.2209873758002</v>
      </c>
      <c r="J7" s="2">
        <f>+'Nynas Group_Quarterly overview'!Z10</f>
        <v>7452.5319999999992</v>
      </c>
      <c r="K7" s="7"/>
      <c r="L7" s="2">
        <f>+'Nynas Group_Quarterly overview'!V10</f>
        <v>15545.202510020701</v>
      </c>
      <c r="M7" s="2">
        <f>+'Nynas Group_Quarterly overview'!W10</f>
        <v>15873.214901464604</v>
      </c>
    </row>
    <row r="8" spans="2:14" x14ac:dyDescent="0.25">
      <c r="B8" s="13" t="s">
        <v>6</v>
      </c>
      <c r="F8" s="2">
        <f>+'Nynas Group_Quarterly overview'!S12</f>
        <v>426.39699999999999</v>
      </c>
      <c r="G8" s="2">
        <f>+'Nynas Group_Quarterly overview'!T12</f>
        <v>398.03970000000004</v>
      </c>
      <c r="I8" s="2">
        <f>+'Nynas Group_Quarterly overview'!Y12</f>
        <v>605.29499999999996</v>
      </c>
      <c r="J8" s="2">
        <f>+'Nynas Group_Quarterly overview'!Z12</f>
        <v>614.59940000000006</v>
      </c>
      <c r="K8" s="7"/>
      <c r="L8" s="2">
        <f>+'Nynas Group_Quarterly overview'!V12</f>
        <v>1324.1716000000001</v>
      </c>
      <c r="M8" s="2">
        <f>+'Nynas Group_Quarterly overview'!W12</f>
        <v>1390.3369000000002</v>
      </c>
    </row>
    <row r="9" spans="2:14" x14ac:dyDescent="0.25">
      <c r="B9" s="13" t="s">
        <v>7</v>
      </c>
      <c r="F9" s="2">
        <f>+'Nynas Group_Quarterly overview'!V13</f>
        <v>4011.2699999999995</v>
      </c>
      <c r="G9" s="2">
        <f>+'Nynas Group_Quarterly overview'!W13</f>
        <v>6518.6650000000009</v>
      </c>
      <c r="I9" s="1" t="s">
        <v>8</v>
      </c>
      <c r="J9" s="1" t="s">
        <v>8</v>
      </c>
      <c r="K9" s="7"/>
      <c r="L9" s="1" t="s">
        <v>8</v>
      </c>
      <c r="M9" s="1" t="s">
        <v>8</v>
      </c>
    </row>
    <row r="10" spans="2:14" x14ac:dyDescent="0.25">
      <c r="B10" s="13" t="s">
        <v>9</v>
      </c>
      <c r="F10" s="2">
        <f>+'Nynas Group_Quarterly overview'!S14</f>
        <v>44.207999999999998</v>
      </c>
      <c r="G10" s="2">
        <f>+'Nynas Group_Quarterly overview'!T14</f>
        <v>38.64</v>
      </c>
      <c r="I10" s="2">
        <f>+'Nynas Group_Quarterly overview'!Y14</f>
        <v>61.295999999999992</v>
      </c>
      <c r="J10" s="2">
        <f>+'Nynas Group_Quarterly overview'!Z14</f>
        <v>59.451000000000001</v>
      </c>
      <c r="K10" s="7"/>
      <c r="L10" s="2">
        <f>+'Nynas Group_Quarterly overview'!V14</f>
        <v>128.65600000000001</v>
      </c>
      <c r="M10" s="2">
        <f>+'Nynas Group_Quarterly overview'!W14</f>
        <v>130.827</v>
      </c>
    </row>
    <row r="11" spans="2:14" ht="8.1" customHeight="1" x14ac:dyDescent="0.25">
      <c r="B11" s="13"/>
      <c r="K11" s="7"/>
      <c r="L11" s="2"/>
      <c r="M11" s="2"/>
    </row>
    <row r="12" spans="2:14" x14ac:dyDescent="0.25">
      <c r="B12" s="13" t="s">
        <v>10</v>
      </c>
      <c r="F12" s="2">
        <f>+'Nynas Group_Quarterly overview'!V16</f>
        <v>2844.2</v>
      </c>
      <c r="G12" s="2">
        <f>+'Nynas Group_Quarterly overview'!W16</f>
        <v>4412.9900000000007</v>
      </c>
      <c r="I12" s="1" t="s">
        <v>8</v>
      </c>
      <c r="J12" s="1" t="s">
        <v>8</v>
      </c>
      <c r="K12" s="7"/>
      <c r="L12" s="1" t="s">
        <v>8</v>
      </c>
      <c r="M12" s="1" t="s">
        <v>8</v>
      </c>
    </row>
    <row r="13" spans="2:14" ht="8.1" customHeight="1" x14ac:dyDescent="0.25">
      <c r="B13" s="13"/>
      <c r="K13" s="7"/>
      <c r="L13" s="2"/>
      <c r="M13" s="2"/>
    </row>
    <row r="14" spans="2:14" x14ac:dyDescent="0.25">
      <c r="B14" s="13" t="s">
        <v>11</v>
      </c>
      <c r="F14" s="2">
        <f>+'Nynas Group_Quarterly overview'!V18</f>
        <v>1137.5229999999999</v>
      </c>
      <c r="G14" s="2">
        <f>+'Nynas Group_Quarterly overview'!W18</f>
        <v>585.32299999999998</v>
      </c>
      <c r="I14" s="1" t="s">
        <v>8</v>
      </c>
      <c r="J14" s="1" t="s">
        <v>8</v>
      </c>
      <c r="K14" s="7"/>
      <c r="L14" s="1" t="s">
        <v>8</v>
      </c>
      <c r="M14" s="1" t="s">
        <v>8</v>
      </c>
    </row>
    <row r="15" spans="2:14" x14ac:dyDescent="0.25">
      <c r="B15" s="13" t="s">
        <v>12</v>
      </c>
      <c r="F15" s="2">
        <f>+'Nynas Group_Quarterly overview'!V19</f>
        <v>1587.3039999999999</v>
      </c>
      <c r="G15" s="2">
        <f>+'Nynas Group_Quarterly overview'!W19</f>
        <v>878.90200000000004</v>
      </c>
      <c r="I15" s="1" t="s">
        <v>8</v>
      </c>
      <c r="J15" s="1" t="s">
        <v>8</v>
      </c>
      <c r="K15" s="7"/>
      <c r="L15" s="1" t="s">
        <v>8</v>
      </c>
      <c r="M15" s="1" t="s">
        <v>8</v>
      </c>
    </row>
    <row r="16" spans="2:14" ht="3.95" customHeight="1" x14ac:dyDescent="0.25">
      <c r="B16" s="13"/>
      <c r="F16" s="2"/>
      <c r="G16" s="2"/>
      <c r="I16" s="2"/>
      <c r="J16" s="2"/>
      <c r="K16" s="7"/>
      <c r="L16" s="2"/>
      <c r="M16" s="2"/>
    </row>
    <row r="17" spans="2:13" ht="8.1" customHeight="1" x14ac:dyDescent="0.25">
      <c r="B17" s="13"/>
      <c r="K17" s="7"/>
      <c r="L17" s="2"/>
      <c r="M17" s="2"/>
    </row>
    <row r="18" spans="2:13" x14ac:dyDescent="0.25">
      <c r="B18" s="13" t="s">
        <v>13</v>
      </c>
      <c r="F18" s="2">
        <f>+'Nynas Group_Quarterly overview'!S22</f>
        <v>64.069000000000003</v>
      </c>
      <c r="G18" s="2">
        <f>+'Nynas Group_Quarterly overview'!T22</f>
        <v>43.893999999999991</v>
      </c>
      <c r="I18" s="2">
        <f>+'Nynas Group_Quarterly overview'!Y22</f>
        <v>64.069000000000003</v>
      </c>
      <c r="J18" s="2">
        <f>+'Nynas Group_Quarterly overview'!Z22</f>
        <v>43.893999999999991</v>
      </c>
      <c r="K18" s="7"/>
      <c r="L18" s="2">
        <f>+'Nynas Group_Quarterly overview'!V22</f>
        <v>235.15800000000002</v>
      </c>
      <c r="M18" s="2">
        <f>+'Nynas Group_Quarterly overview'!W22</f>
        <v>212.80105601999998</v>
      </c>
    </row>
    <row r="19" spans="2:13" x14ac:dyDescent="0.25">
      <c r="B19" s="13" t="s">
        <v>14</v>
      </c>
      <c r="F19" s="2">
        <f>+'Nynas Group_Quarterly overview'!S23</f>
        <v>14.156000000000002</v>
      </c>
      <c r="G19" s="2">
        <f>+'Nynas Group_Quarterly overview'!T23</f>
        <v>12.167</v>
      </c>
      <c r="I19" s="2">
        <f>+'Nynas Group_Quarterly overview'!Y23</f>
        <v>14.156000000000002</v>
      </c>
      <c r="J19" s="2">
        <f>+'Nynas Group_Quarterly overview'!Z23</f>
        <v>12.167</v>
      </c>
      <c r="K19" s="7"/>
      <c r="L19" s="2">
        <f>+'Nynas Group_Quarterly overview'!V23</f>
        <v>140.928</v>
      </c>
      <c r="M19" s="2">
        <f>+'Nynas Group_Quarterly overview'!W23</f>
        <v>103.857</v>
      </c>
    </row>
    <row r="20" spans="2:13" x14ac:dyDescent="0.25">
      <c r="B20" s="13" t="s">
        <v>15</v>
      </c>
      <c r="F20" s="2">
        <f>+'Nynas Group_Quarterly overview'!S24</f>
        <v>0</v>
      </c>
      <c r="G20" s="2">
        <f>+'Nynas Group_Quarterly overview'!T24</f>
        <v>-3.1789999999999998</v>
      </c>
      <c r="I20" s="2">
        <f>+'Nynas Group_Quarterly overview'!Y24</f>
        <v>0</v>
      </c>
      <c r="J20" s="2">
        <f>+'Nynas Group_Quarterly overview'!Z24</f>
        <v>-3.1789999999999998</v>
      </c>
      <c r="K20" s="7"/>
      <c r="L20" s="2">
        <f>+'Nynas Group_Quarterly overview'!V24</f>
        <v>0.52800000000000002</v>
      </c>
      <c r="M20" s="2">
        <f>+'Nynas Group_Quarterly overview'!W24</f>
        <v>274.80594398</v>
      </c>
    </row>
    <row r="21" spans="2:13" x14ac:dyDescent="0.25">
      <c r="B21" s="13" t="s">
        <v>16</v>
      </c>
      <c r="F21" s="2">
        <f>+'Nynas Group_Quarterly overview'!S25</f>
        <v>5.8979999999999997</v>
      </c>
      <c r="G21" s="2">
        <f>+'Nynas Group_Quarterly overview'!T25</f>
        <v>0.05</v>
      </c>
      <c r="I21" s="2">
        <f>+'Nynas Group_Quarterly overview'!Y25</f>
        <v>5.8979999999999997</v>
      </c>
      <c r="J21" s="2">
        <f>+'Nynas Group_Quarterly overview'!Z25</f>
        <v>0.05</v>
      </c>
      <c r="K21" s="7"/>
      <c r="L21" s="2">
        <f>+'Nynas Group_Quarterly overview'!V25</f>
        <v>20.071999999999999</v>
      </c>
      <c r="M21" s="2">
        <f>+'Nynas Group_Quarterly overview'!W25</f>
        <v>4.6470000000000002</v>
      </c>
    </row>
    <row r="22" spans="2:13" ht="8.1" customHeight="1" x14ac:dyDescent="0.25">
      <c r="B22" s="13"/>
      <c r="K22" s="7"/>
      <c r="M22" s="7"/>
    </row>
    <row r="23" spans="2:13" x14ac:dyDescent="0.25">
      <c r="B23" s="13" t="s">
        <v>17</v>
      </c>
      <c r="F23" s="2">
        <f>+'Nynas Group_Quarterly overview'!S27</f>
        <v>346.59800000000001</v>
      </c>
      <c r="G23" s="2">
        <f>+'Nynas Group_Quarterly overview'!T27</f>
        <v>-461.02100000000002</v>
      </c>
      <c r="I23" s="2">
        <f>+'Nynas Group_Quarterly overview'!Y27</f>
        <v>-383.267</v>
      </c>
      <c r="J23" s="2">
        <f>+'Nynas Group_Quarterly overview'!Z27</f>
        <v>-1015.069</v>
      </c>
      <c r="K23" s="7"/>
      <c r="L23" s="2">
        <f>+'Nynas Group_Quarterly overview'!V27</f>
        <v>1994.605</v>
      </c>
      <c r="M23" s="2">
        <f>+'Nynas Group_Quarterly overview'!W27</f>
        <v>610.32000000000005</v>
      </c>
    </row>
    <row r="24" spans="2:13" x14ac:dyDescent="0.25">
      <c r="K24" s="7"/>
      <c r="M24" s="7"/>
    </row>
    <row r="25" spans="2:13" x14ac:dyDescent="0.25">
      <c r="B25" s="10"/>
      <c r="K25" s="7"/>
    </row>
    <row r="26" spans="2:13" x14ac:dyDescent="0.25">
      <c r="B26" s="10" t="s">
        <v>18</v>
      </c>
      <c r="F26" s="109" t="str">
        <f>+F$5</f>
        <v>Q2</v>
      </c>
      <c r="G26" s="109" t="str">
        <f>+G$5</f>
        <v>Q2</v>
      </c>
      <c r="H26" s="11"/>
      <c r="I26" s="109" t="str">
        <f>+I$5</f>
        <v>Q2</v>
      </c>
      <c r="J26" s="109" t="str">
        <f>+J$5</f>
        <v>Q2</v>
      </c>
      <c r="K26" s="110"/>
      <c r="L26" s="109" t="str">
        <f>+L$5</f>
        <v>LTM</v>
      </c>
      <c r="M26" s="109" t="str">
        <f>+M$5</f>
        <v>LTM</v>
      </c>
    </row>
    <row r="27" spans="2:13" x14ac:dyDescent="0.25">
      <c r="B27" s="10"/>
      <c r="F27" s="107" t="str">
        <f>+F$6</f>
        <v>Q2 2025</v>
      </c>
      <c r="G27" s="107" t="str">
        <f>+G$6</f>
        <v>Q2 2024</v>
      </c>
      <c r="I27" s="106">
        <f t="shared" ref="I27:J27" si="0">+I$6</f>
        <v>2025</v>
      </c>
      <c r="J27" s="106">
        <f t="shared" si="0"/>
        <v>2024</v>
      </c>
      <c r="K27" s="7"/>
      <c r="L27" s="108">
        <f t="shared" ref="L27:M27" si="1">+L$6</f>
        <v>2025</v>
      </c>
      <c r="M27" s="108">
        <f t="shared" si="1"/>
        <v>2024</v>
      </c>
    </row>
    <row r="28" spans="2:13" x14ac:dyDescent="0.25">
      <c r="B28" s="13" t="s">
        <v>5</v>
      </c>
      <c r="F28" s="2">
        <f>+'Nynas Group_Quarterly overview'!S35</f>
        <v>4160.8924920259997</v>
      </c>
      <c r="G28" s="2">
        <f>+'Nynas Group_Quarterly overview'!T35</f>
        <v>4528.6579999999994</v>
      </c>
      <c r="H28" s="2"/>
      <c r="I28" s="2">
        <f>+'Nynas Group_Quarterly overview'!Y35</f>
        <v>7004.2209873758002</v>
      </c>
      <c r="J28" s="2">
        <f>+'Nynas Group_Quarterly overview'!Z35</f>
        <v>7452.5319999999992</v>
      </c>
      <c r="K28" s="7"/>
      <c r="L28" s="2">
        <f>+'Nynas Group_Quarterly overview'!V35</f>
        <v>15545.202510020701</v>
      </c>
      <c r="M28" s="2">
        <f>+'Nynas Group_Quarterly overview'!W35</f>
        <v>15873.214901464604</v>
      </c>
    </row>
    <row r="29" spans="2:13" x14ac:dyDescent="0.25">
      <c r="B29" s="13" t="s">
        <v>6</v>
      </c>
      <c r="F29" s="2">
        <f>+'Nynas Group_Quarterly overview'!S36</f>
        <v>426.39699999999999</v>
      </c>
      <c r="G29" s="2">
        <f>+'Nynas Group_Quarterly overview'!T36</f>
        <v>398.03970000000004</v>
      </c>
      <c r="I29" s="2">
        <f>+'Nynas Group_Quarterly overview'!Y36</f>
        <v>605.29499999999996</v>
      </c>
      <c r="J29" s="2">
        <f>+'Nynas Group_Quarterly overview'!Z36</f>
        <v>614.59940000000006</v>
      </c>
      <c r="K29" s="7"/>
      <c r="L29" s="2">
        <f>+'Nynas Group_Quarterly overview'!V36</f>
        <v>1324.1716000000001</v>
      </c>
      <c r="M29" s="2">
        <f>+'Nynas Group_Quarterly overview'!W36</f>
        <v>1390.3369000000002</v>
      </c>
    </row>
    <row r="30" spans="2:13" x14ac:dyDescent="0.25">
      <c r="B30" s="13" t="s">
        <v>19</v>
      </c>
      <c r="F30" s="2">
        <f>+'Nynas Group_Quarterly overview'!S37</f>
        <v>-6.46028</v>
      </c>
      <c r="G30" s="2">
        <f>+'Nynas Group_Quarterly overview'!T37</f>
        <v>-0.20800000000000018</v>
      </c>
      <c r="I30" s="2">
        <f>+'Nynas Group_Quarterly overview'!Y37</f>
        <v>-13.18712</v>
      </c>
      <c r="J30" s="2">
        <f>+'Nynas Group_Quarterly overview'!Z37</f>
        <v>-7.3140000000000001</v>
      </c>
      <c r="K30" s="7"/>
      <c r="L30" s="2">
        <f>+'Nynas Group_Quarterly overview'!V37</f>
        <v>-26.065300000000001</v>
      </c>
      <c r="M30" s="2">
        <f>+'Nynas Group_Quarterly overview'!W37</f>
        <v>-25.592339999999993</v>
      </c>
    </row>
    <row r="31" spans="2:13" x14ac:dyDescent="0.25">
      <c r="B31" s="13" t="s">
        <v>20</v>
      </c>
      <c r="F31" s="2">
        <f>+'Nynas Group_Quarterly overview'!S38</f>
        <v>-103.38199999999999</v>
      </c>
      <c r="G31" s="2">
        <f>+'Nynas Group_Quarterly overview'!T38</f>
        <v>-101.07299999999999</v>
      </c>
      <c r="I31" s="2">
        <f>+'Nynas Group_Quarterly overview'!Y38</f>
        <v>-198.18599999999998</v>
      </c>
      <c r="J31" s="2">
        <f>+'Nynas Group_Quarterly overview'!Z38</f>
        <v>-191.267</v>
      </c>
      <c r="K31" s="7"/>
      <c r="L31" s="2">
        <f>+'Nynas Group_Quarterly overview'!V38</f>
        <v>-449.68664218229998</v>
      </c>
      <c r="M31" s="2">
        <f>+'Nynas Group_Quarterly overview'!W38</f>
        <v>582.53165862189996</v>
      </c>
    </row>
    <row r="32" spans="2:13" x14ac:dyDescent="0.25">
      <c r="B32" s="13" t="s">
        <v>21</v>
      </c>
      <c r="F32" s="2">
        <f>+'Nynas Group_Quarterly overview'!S39</f>
        <v>-57.566000000000003</v>
      </c>
      <c r="G32" s="2">
        <f>+'Nynas Group_Quarterly overview'!T39</f>
        <v>-61.036999999999999</v>
      </c>
      <c r="I32" s="2">
        <f>+'Nynas Group_Quarterly overview'!Y39</f>
        <v>-113.703</v>
      </c>
      <c r="J32" s="2">
        <f>+'Nynas Group_Quarterly overview'!Z39</f>
        <v>-122.794</v>
      </c>
      <c r="K32" s="7"/>
      <c r="L32" s="1">
        <f>+'Nynas Group_Quarterly overview'!V39</f>
        <v>-209.18924957600001</v>
      </c>
      <c r="M32" s="1">
        <f>+'Nynas Group_Quarterly overview'!W39</f>
        <v>-236.899</v>
      </c>
    </row>
    <row r="33" spans="2:13" x14ac:dyDescent="0.25">
      <c r="B33" s="13" t="s">
        <v>22</v>
      </c>
      <c r="F33" s="2">
        <f>+'Nynas Group_Quarterly overview'!S40</f>
        <v>-201.97300000000001</v>
      </c>
      <c r="G33" s="2">
        <f>+'Nynas Group_Quarterly overview'!T40</f>
        <v>-87.689651422408019</v>
      </c>
      <c r="I33" s="2">
        <f>+'Nynas Group_Quarterly overview'!Y40</f>
        <v>-464.774</v>
      </c>
      <c r="J33" s="2">
        <f>+'Nynas Group_Quarterly overview'!Z40</f>
        <v>-82.21932613218101</v>
      </c>
      <c r="K33" s="7"/>
      <c r="L33" s="2">
        <f>+'Nynas Group_Quarterly overview'!V40</f>
        <v>-965.8742119094311</v>
      </c>
      <c r="M33" s="2">
        <f>+'Nynas Group_Quarterly overview'!W40</f>
        <v>-948.83931954574064</v>
      </c>
    </row>
    <row r="34" spans="2:13" x14ac:dyDescent="0.25">
      <c r="B34" s="16" t="s">
        <v>23</v>
      </c>
      <c r="C34" s="17"/>
      <c r="D34" s="17"/>
      <c r="F34" s="18">
        <f>+'Nynas Group_Quarterly overview'!S41</f>
        <v>57.015568005001143</v>
      </c>
      <c r="G34" s="18">
        <f>+'Nynas Group_Quarterly overview'!T41</f>
        <v>148.03199999999913</v>
      </c>
      <c r="I34" s="18">
        <f>+'Nynas Group_Quarterly overview'!Y41</f>
        <v>-184.31159294489854</v>
      </c>
      <c r="J34" s="18">
        <f>+'Nynas Group_Quarterly overview'!Z41</f>
        <v>211.00499999999892</v>
      </c>
      <c r="K34" s="7"/>
      <c r="L34" s="18">
        <f>+'Nynas Group_Quarterly overview'!V41</f>
        <v>-326.40028986694688</v>
      </c>
      <c r="M34" s="18">
        <f>+'Nynas Group_Quarterly overview'!W41</f>
        <v>761.53752787929511</v>
      </c>
    </row>
    <row r="35" spans="2:13" x14ac:dyDescent="0.25">
      <c r="B35" s="13"/>
      <c r="F35" s="2"/>
      <c r="G35" s="2"/>
      <c r="I35" s="2"/>
      <c r="J35" s="2"/>
      <c r="K35" s="7"/>
    </row>
    <row r="36" spans="2:13" x14ac:dyDescent="0.25">
      <c r="B36" s="13" t="s">
        <v>24</v>
      </c>
      <c r="F36" s="2">
        <f>+'Nynas Group_Quarterly overview'!S43</f>
        <v>-297.95587164593212</v>
      </c>
      <c r="G36" s="2">
        <f>+'Nynas Group_Quarterly overview'!T43</f>
        <v>-80.702000000000027</v>
      </c>
      <c r="I36" s="2">
        <f>+'Nynas Group_Quarterly overview'!Y43</f>
        <v>-337.82364734876808</v>
      </c>
      <c r="J36" s="2">
        <f>+'Nynas Group_Quarterly overview'!Z43</f>
        <v>-257.12400000000002</v>
      </c>
      <c r="K36" s="7"/>
      <c r="L36" s="1">
        <f>+'Nynas Group_Quarterly overview'!V43</f>
        <v>-598.30952573705804</v>
      </c>
      <c r="M36" s="1">
        <f>+'Nynas Group_Quarterly overview'!W43</f>
        <v>-376.45569893501943</v>
      </c>
    </row>
    <row r="37" spans="2:13" x14ac:dyDescent="0.25">
      <c r="B37" s="13"/>
      <c r="F37" s="2"/>
      <c r="G37" s="2"/>
      <c r="I37" s="2"/>
      <c r="J37" s="2"/>
      <c r="K37" s="7"/>
      <c r="L37" s="2"/>
      <c r="M37" s="2"/>
    </row>
    <row r="38" spans="2:13" x14ac:dyDescent="0.25">
      <c r="B38" s="16" t="s">
        <v>25</v>
      </c>
      <c r="C38" s="17"/>
      <c r="D38" s="17"/>
      <c r="F38" s="18">
        <f>SUM(F34:F37)</f>
        <v>-240.94030364093098</v>
      </c>
      <c r="G38" s="18">
        <f>SUM(G34:G37)</f>
        <v>67.329999999999103</v>
      </c>
      <c r="I38" s="18">
        <f>SUM(I34:I37)</f>
        <v>-522.13524029366658</v>
      </c>
      <c r="J38" s="18">
        <f>SUM(J34:J37)</f>
        <v>-46.119000000001108</v>
      </c>
      <c r="K38" s="7"/>
      <c r="L38" s="18">
        <f>SUM(L34:L37)</f>
        <v>-924.70981560400492</v>
      </c>
      <c r="M38" s="18">
        <f>SUM(M34:M37)</f>
        <v>385.08182894427568</v>
      </c>
    </row>
    <row r="39" spans="2:13" x14ac:dyDescent="0.25">
      <c r="B39" s="13"/>
      <c r="F39" s="2"/>
      <c r="G39" s="2"/>
      <c r="I39" s="2"/>
      <c r="J39" s="2"/>
      <c r="K39" s="7"/>
      <c r="L39" s="2"/>
      <c r="M39" s="2"/>
    </row>
    <row r="40" spans="2:13" x14ac:dyDescent="0.25">
      <c r="B40" s="13" t="s">
        <v>26</v>
      </c>
      <c r="F40" s="2">
        <f>+'Nynas Group_Quarterly overview'!S47</f>
        <v>-3.7493213078689962</v>
      </c>
      <c r="G40" s="2">
        <f>+'Nynas Group_Quarterly overview'!T47</f>
        <v>-4.8160000000000007</v>
      </c>
      <c r="I40" s="2">
        <f>+'Nynas Group_Quarterly overview'!Y47</f>
        <v>-16.570018416839996</v>
      </c>
      <c r="J40" s="2">
        <f>+'Nynas Group_Quarterly overview'!Z47</f>
        <v>-10.855</v>
      </c>
      <c r="K40" s="7"/>
      <c r="L40" s="1">
        <f>+'Nynas Group_Quarterly overview'!V47</f>
        <v>-9.3450983014369946</v>
      </c>
      <c r="M40" s="1">
        <f>+'Nynas Group_Quarterly overview'!W47</f>
        <v>578.9361054545999</v>
      </c>
    </row>
    <row r="41" spans="2:13" x14ac:dyDescent="0.25">
      <c r="B41" s="13"/>
      <c r="F41" s="2"/>
      <c r="G41" s="2"/>
      <c r="I41" s="2"/>
      <c r="J41" s="2"/>
      <c r="K41" s="7"/>
    </row>
    <row r="42" spans="2:13" x14ac:dyDescent="0.25">
      <c r="B42" s="16" t="s">
        <v>27</v>
      </c>
      <c r="C42" s="17"/>
      <c r="D42" s="17"/>
      <c r="F42" s="18">
        <f>SUM(F38:F41)</f>
        <v>-244.68962494879997</v>
      </c>
      <c r="G42" s="18">
        <f>SUM(G38:G41)</f>
        <v>62.513999999999101</v>
      </c>
      <c r="I42" s="18">
        <f>SUM(I38:I41)</f>
        <v>-538.70525871050654</v>
      </c>
      <c r="J42" s="18">
        <f>SUM(J38:J41)</f>
        <v>-56.974000000001112</v>
      </c>
      <c r="K42" s="7"/>
      <c r="L42" s="18">
        <f>SUM(L38:L41)</f>
        <v>-934.05491390544194</v>
      </c>
      <c r="M42" s="18">
        <f>SUM(M38:M41)</f>
        <v>964.01793439887558</v>
      </c>
    </row>
    <row r="43" spans="2:13" x14ac:dyDescent="0.25">
      <c r="K43" s="7"/>
      <c r="M43" s="7"/>
    </row>
    <row r="44" spans="2:13" x14ac:dyDescent="0.25">
      <c r="B44" s="13"/>
    </row>
    <row r="45" spans="2:13" x14ac:dyDescent="0.25">
      <c r="B45" s="10" t="s">
        <v>28</v>
      </c>
      <c r="F45" s="19" t="s">
        <v>29</v>
      </c>
      <c r="G45" s="19" t="s">
        <v>30</v>
      </c>
      <c r="I45" s="19" t="s">
        <v>31</v>
      </c>
      <c r="J45" s="19"/>
      <c r="K45" s="7"/>
    </row>
    <row r="46" spans="2:13" ht="9" customHeight="1" x14ac:dyDescent="0.25">
      <c r="B46" s="13"/>
      <c r="F46" s="14"/>
      <c r="G46" s="14"/>
      <c r="I46" s="14"/>
      <c r="J46" s="14"/>
    </row>
    <row r="47" spans="2:13" x14ac:dyDescent="0.25">
      <c r="B47" s="13" t="s">
        <v>32</v>
      </c>
      <c r="F47" s="2">
        <f>+'Nynas Group_Quarterly overview'!V55</f>
        <v>4701.2999999999993</v>
      </c>
      <c r="G47" s="2">
        <f>+'Nynas Group_Quarterly overview'!W55</f>
        <v>4807.7579999999998</v>
      </c>
      <c r="I47" s="2">
        <f>+'Nynas Group_Quarterly overview'!AB55</f>
        <v>4843.3999999999996</v>
      </c>
      <c r="J47" s="2"/>
      <c r="K47" s="2"/>
    </row>
    <row r="48" spans="2:13" x14ac:dyDescent="0.25">
      <c r="B48" s="13" t="s">
        <v>33</v>
      </c>
      <c r="F48" s="2">
        <f>+'Nynas Group_Quarterly overview'!V56</f>
        <v>1893.5</v>
      </c>
      <c r="G48" s="2">
        <f>+'Nynas Group_Quarterly overview'!W56</f>
        <v>2568.136</v>
      </c>
      <c r="I48" s="2">
        <f>+'Nynas Group_Quarterly overview'!AB56</f>
        <v>1772.5</v>
      </c>
      <c r="J48" s="2"/>
      <c r="K48" s="2"/>
    </row>
    <row r="49" spans="2:13" x14ac:dyDescent="0.25">
      <c r="B49" s="13" t="s">
        <v>34</v>
      </c>
      <c r="F49" s="2">
        <f>+'Nynas Group_Quarterly overview'!V57</f>
        <v>2521.6999999999994</v>
      </c>
      <c r="G49" s="2">
        <f>+'Nynas Group_Quarterly overview'!W57</f>
        <v>3243.5290000000009</v>
      </c>
      <c r="I49" s="2">
        <f>+'Nynas Group_Quarterly overview'!AB57</f>
        <v>2153.5</v>
      </c>
      <c r="J49" s="2"/>
      <c r="K49" s="2"/>
    </row>
    <row r="50" spans="2:13" x14ac:dyDescent="0.25">
      <c r="B50" s="13" t="s">
        <v>35</v>
      </c>
      <c r="F50" s="2">
        <f>+'Nynas Group_Quarterly overview'!V58</f>
        <v>1229.0999999999999</v>
      </c>
      <c r="G50" s="2">
        <f>+'Nynas Group_Quarterly overview'!W58</f>
        <v>645.88800000000003</v>
      </c>
      <c r="I50" s="2">
        <f>+'Nynas Group_Quarterly overview'!AB58</f>
        <v>1255</v>
      </c>
      <c r="J50" s="2"/>
      <c r="K50" s="2"/>
    </row>
    <row r="51" spans="2:13" ht="9" customHeight="1" x14ac:dyDescent="0.25">
      <c r="B51" s="13"/>
    </row>
    <row r="52" spans="2:13" x14ac:dyDescent="0.25">
      <c r="B52" s="16" t="s">
        <v>36</v>
      </c>
      <c r="C52" s="17"/>
      <c r="D52" s="17"/>
      <c r="E52" s="17"/>
      <c r="F52" s="18">
        <f>SUM(F47:F51)</f>
        <v>10345.599999999999</v>
      </c>
      <c r="G52" s="18">
        <f>SUM(G47:G51)</f>
        <v>11265.311000000002</v>
      </c>
      <c r="I52" s="18">
        <f>SUM(I47:I51)</f>
        <v>10024.4</v>
      </c>
      <c r="J52" s="2"/>
      <c r="K52" s="2"/>
    </row>
    <row r="53" spans="2:13" ht="9" customHeight="1" x14ac:dyDescent="0.25">
      <c r="B53" s="13"/>
    </row>
    <row r="54" spans="2:13" x14ac:dyDescent="0.25">
      <c r="B54" s="13" t="s">
        <v>37</v>
      </c>
      <c r="F54" s="2">
        <f>+'Nynas Group_Quarterly overview'!V62</f>
        <v>2284.1087412894926</v>
      </c>
      <c r="G54" s="2">
        <f>+'Nynas Group_Quarterly overview'!W62</f>
        <v>1275.227000000004</v>
      </c>
      <c r="I54" s="2">
        <f>+'Nynas Group_Quarterly overview'!AB62</f>
        <v>858.59999662448558</v>
      </c>
      <c r="J54" s="2"/>
      <c r="K54" s="2"/>
    </row>
    <row r="55" spans="2:13" x14ac:dyDescent="0.25">
      <c r="B55" s="5" t="s">
        <v>38</v>
      </c>
      <c r="F55" s="2">
        <f>+'Nynas Group_Quarterly overview'!V63</f>
        <v>4689.8</v>
      </c>
      <c r="G55" s="2">
        <f>+'Nynas Group_Quarterly overview'!W63</f>
        <v>5390.7990000000009</v>
      </c>
      <c r="I55" s="2">
        <f>+'Nynas Group_Quarterly overview'!AB63</f>
        <v>5327.8980000000001</v>
      </c>
      <c r="J55" s="2"/>
      <c r="K55" s="2"/>
    </row>
    <row r="56" spans="2:13" x14ac:dyDescent="0.25">
      <c r="B56" s="5" t="s">
        <v>39</v>
      </c>
      <c r="F56" s="2">
        <f>+'Nynas Group_Quarterly overview'!V64</f>
        <v>230.61699999999999</v>
      </c>
      <c r="G56" s="2">
        <f>+'Nynas Group_Quarterly overview'!W64</f>
        <v>462.26799999999997</v>
      </c>
      <c r="I56" s="2">
        <f>+'Nynas Group_Quarterly overview'!AB64</f>
        <v>387</v>
      </c>
      <c r="J56" s="2"/>
      <c r="K56" s="2"/>
    </row>
    <row r="57" spans="2:13" x14ac:dyDescent="0.25">
      <c r="B57" s="5" t="s">
        <v>40</v>
      </c>
      <c r="F57" s="2">
        <f>+'Nynas Group_Quarterly overview'!V65</f>
        <v>1083.5999999999999</v>
      </c>
      <c r="G57" s="2">
        <f>+'Nynas Group_Quarterly overview'!W65</f>
        <v>2511.5329999999999</v>
      </c>
      <c r="I57" s="2">
        <f>+'Nynas Group_Quarterly overview'!AB65</f>
        <v>1554.1420000000001</v>
      </c>
      <c r="J57" s="1"/>
      <c r="K57" s="2"/>
    </row>
    <row r="58" spans="2:13" x14ac:dyDescent="0.25">
      <c r="B58" s="5" t="s">
        <v>41</v>
      </c>
      <c r="F58" s="2">
        <f>+'Nynas Group_Quarterly overview'!V66</f>
        <v>2057.5830000000001</v>
      </c>
      <c r="G58" s="2">
        <f>+'Nynas Group_Quarterly overview'!W66</f>
        <v>1625.4749999999999</v>
      </c>
      <c r="I58" s="2">
        <f>+'Nynas Group_Quarterly overview'!AB66</f>
        <v>1896.7</v>
      </c>
      <c r="J58" s="2"/>
      <c r="K58" s="2"/>
    </row>
    <row r="59" spans="2:13" ht="9" customHeight="1" x14ac:dyDescent="0.25">
      <c r="B59" s="13"/>
    </row>
    <row r="60" spans="2:13" x14ac:dyDescent="0.25">
      <c r="B60" s="16" t="s">
        <v>42</v>
      </c>
      <c r="C60" s="17"/>
      <c r="D60" s="17"/>
      <c r="E60" s="17"/>
      <c r="F60" s="18">
        <f t="shared" ref="F60:G60" si="2">SUM(F54:F59)</f>
        <v>10345.708741289494</v>
      </c>
      <c r="G60" s="18">
        <f t="shared" si="2"/>
        <v>11265.302000000005</v>
      </c>
      <c r="I60" s="18">
        <f t="shared" ref="I60" si="3">SUM(I54:I59)</f>
        <v>10024.339996624485</v>
      </c>
      <c r="J60" s="2"/>
      <c r="K60" s="2"/>
    </row>
    <row r="61" spans="2:13" x14ac:dyDescent="0.25">
      <c r="B61" s="13"/>
    </row>
    <row r="62" spans="2:13" x14ac:dyDescent="0.25">
      <c r="B62" s="13"/>
    </row>
    <row r="63" spans="2:13" x14ac:dyDescent="0.25">
      <c r="B63" s="13"/>
      <c r="F63" s="109" t="str">
        <f>+$F$5</f>
        <v>Q2</v>
      </c>
      <c r="G63" s="109" t="str">
        <f>+$G$5</f>
        <v>Q2</v>
      </c>
      <c r="H63" s="11"/>
      <c r="I63" s="109" t="str">
        <f>+$F$5</f>
        <v>Q2</v>
      </c>
      <c r="J63" s="109" t="str">
        <f>+$G$5</f>
        <v>Q2</v>
      </c>
      <c r="K63" s="110"/>
      <c r="L63" s="109" t="str">
        <f>+$L$5</f>
        <v>LTM</v>
      </c>
      <c r="M63" s="109" t="str">
        <f>+$M$5</f>
        <v>LTM</v>
      </c>
    </row>
    <row r="64" spans="2:13" x14ac:dyDescent="0.25">
      <c r="B64" s="10" t="s">
        <v>43</v>
      </c>
      <c r="F64" s="107" t="str">
        <f>+F$6</f>
        <v>Q2 2025</v>
      </c>
      <c r="G64" s="107" t="str">
        <f>+G$6</f>
        <v>Q2 2024</v>
      </c>
      <c r="I64" s="106">
        <f>+I$6</f>
        <v>2025</v>
      </c>
      <c r="J64" s="106">
        <f>+J$6</f>
        <v>2024</v>
      </c>
      <c r="K64" s="7"/>
      <c r="L64" s="108">
        <f>+L$6</f>
        <v>2025</v>
      </c>
      <c r="M64" s="108">
        <f>+M$6</f>
        <v>2024</v>
      </c>
    </row>
    <row r="65" spans="2:13" ht="9" customHeight="1" x14ac:dyDescent="0.25">
      <c r="B65" s="13"/>
    </row>
    <row r="66" spans="2:13" x14ac:dyDescent="0.25">
      <c r="B66" s="13" t="s">
        <v>44</v>
      </c>
      <c r="F66" s="2">
        <f>+'Nynas Group_Quarterly overview'!S73</f>
        <v>11.462936652736106</v>
      </c>
      <c r="G66" s="2">
        <f>+'Nynas Group_Quarterly overview'!T73</f>
        <v>80.483999999999114</v>
      </c>
      <c r="H66" s="2"/>
      <c r="I66" s="2">
        <f>+'Nynas Group_Quarterly overview'!Y73</f>
        <v>-177.75699999999995</v>
      </c>
      <c r="J66" s="2">
        <f>+'Nynas Group_Quarterly overview'!Z73</f>
        <v>137.27399999999957</v>
      </c>
      <c r="K66" s="2"/>
      <c r="L66" s="2">
        <f>+'Nynas Group_Quarterly overview'!V73</f>
        <v>122.37042468966234</v>
      </c>
      <c r="M66" s="2">
        <f>+'Nynas Group_Quarterly overview'!W73</f>
        <v>302.68782894427557</v>
      </c>
    </row>
    <row r="67" spans="2:13" x14ac:dyDescent="0.25">
      <c r="B67" s="13" t="s">
        <v>45</v>
      </c>
      <c r="F67" s="2">
        <f>+'Nynas Group_Quarterly overview'!S74</f>
        <v>155.61900000000003</v>
      </c>
      <c r="G67" s="2">
        <f>+'Nynas Group_Quarterly overview'!T74</f>
        <v>-624.65870000000007</v>
      </c>
      <c r="H67" s="2"/>
      <c r="I67" s="2">
        <f>+'Nynas Group_Quarterly overview'!Y74</f>
        <v>-434.76199999999994</v>
      </c>
      <c r="J67" s="2">
        <f>+'Nynas Group_Quarterly overview'!Z74</f>
        <v>-1264.2755010000001</v>
      </c>
      <c r="K67" s="2"/>
      <c r="L67" s="2">
        <f>+'Nynas Group_Quarterly overview'!V74</f>
        <v>1443.5195010000002</v>
      </c>
      <c r="M67" s="2">
        <f>+'Nynas Group_Quarterly overview'!W74</f>
        <v>131.99782899999991</v>
      </c>
    </row>
    <row r="68" spans="2:13" x14ac:dyDescent="0.25">
      <c r="B68" s="13" t="s">
        <v>46</v>
      </c>
      <c r="F68" s="2">
        <f>+'Nynas Group_Quarterly overview'!S75</f>
        <v>167.08193665273615</v>
      </c>
      <c r="G68" s="2">
        <f>+'Nynas Group_Quarterly overview'!T75</f>
        <v>-544.17470000000094</v>
      </c>
      <c r="H68" s="2"/>
      <c r="I68" s="2">
        <f>+'Nynas Group_Quarterly overview'!Y75</f>
        <v>-612.51899999999978</v>
      </c>
      <c r="J68" s="2">
        <f>+'Nynas Group_Quarterly overview'!Z75</f>
        <v>-1127.0015010000006</v>
      </c>
      <c r="K68" s="2"/>
      <c r="L68" s="2">
        <f>+'Nynas Group_Quarterly overview'!V75</f>
        <v>1565.8899256896625</v>
      </c>
      <c r="M68" s="2">
        <f>+'Nynas Group_Quarterly overview'!W75</f>
        <v>434.68565794427536</v>
      </c>
    </row>
    <row r="69" spans="2:13" ht="9" customHeight="1" x14ac:dyDescent="0.25">
      <c r="B69" s="13"/>
    </row>
    <row r="70" spans="2:13" x14ac:dyDescent="0.25">
      <c r="B70" s="13" t="s">
        <v>47</v>
      </c>
      <c r="F70" s="2">
        <f>+'Nynas Group_Quarterly overview'!S77</f>
        <v>-84.123000000000005</v>
      </c>
      <c r="G70" s="2">
        <f>+'Nynas Group_Quarterly overview'!T77</f>
        <v>-52.931999999999995</v>
      </c>
      <c r="H70" s="2"/>
      <c r="I70" s="2">
        <f>+'Nynas Group_Quarterly overview'!Y77</f>
        <v>-157.53100000000001</v>
      </c>
      <c r="J70" s="2">
        <f>+'Nynas Group_Quarterly overview'!Z77</f>
        <v>-128.55699999999999</v>
      </c>
      <c r="K70" s="2"/>
      <c r="L70" s="2">
        <f>+'Nynas Group_Quarterly overview'!V77</f>
        <v>-391.78600000000006</v>
      </c>
      <c r="M70" s="2">
        <f>+'Nynas Group_Quarterly overview'!W77</f>
        <v>-590.42600000000004</v>
      </c>
    </row>
    <row r="71" spans="2:13" x14ac:dyDescent="0.25">
      <c r="B71" s="13" t="s">
        <v>48</v>
      </c>
      <c r="F71" s="2">
        <f>+'Nynas Group_Quarterly overview'!S78</f>
        <v>82.958936652736142</v>
      </c>
      <c r="G71" s="2">
        <f>+'Nynas Group_Quarterly overview'!T78</f>
        <v>-597.10670000000096</v>
      </c>
      <c r="H71" s="2"/>
      <c r="I71" s="2">
        <f>+'Nynas Group_Quarterly overview'!Y78</f>
        <v>-770.04999999999984</v>
      </c>
      <c r="J71" s="2">
        <f>+'Nynas Group_Quarterly overview'!Z78</f>
        <v>-1255.5585010000004</v>
      </c>
      <c r="K71" s="2"/>
      <c r="L71" s="2">
        <f>+'Nynas Group_Quarterly overview'!V78</f>
        <v>1174.1039256896624</v>
      </c>
      <c r="M71" s="2">
        <f>+'Nynas Group_Quarterly overview'!W78</f>
        <v>-155.74034205572457</v>
      </c>
    </row>
    <row r="72" spans="2:13" ht="9" customHeight="1" x14ac:dyDescent="0.25">
      <c r="B72" s="13"/>
    </row>
    <row r="73" spans="2:13" x14ac:dyDescent="0.25">
      <c r="B73" s="13" t="s">
        <v>49</v>
      </c>
      <c r="F73" s="2">
        <f>+'Nynas Group_Quarterly overview'!S80</f>
        <v>587.34100000000058</v>
      </c>
      <c r="G73" s="2">
        <f>+'Nynas Group_Quarterly overview'!T80</f>
        <v>508.76969999999994</v>
      </c>
      <c r="H73" s="2"/>
      <c r="I73" s="2">
        <f>+'Nynas Group_Quarterly overview'!Y80</f>
        <v>744.04900000000055</v>
      </c>
      <c r="J73" s="2">
        <f>+'Nynas Group_Quarterly overview'!Z80</f>
        <v>671.82750099999998</v>
      </c>
      <c r="K73" s="2"/>
      <c r="L73" s="2">
        <f>+'Nynas Group_Quarterly overview'!V80</f>
        <v>-591.10436099999947</v>
      </c>
      <c r="M73" s="2">
        <f>+'Nynas Group_Quarterly overview'!W80</f>
        <v>-211.88082899999995</v>
      </c>
    </row>
    <row r="74" spans="2:13" x14ac:dyDescent="0.25">
      <c r="B74" s="13" t="s">
        <v>50</v>
      </c>
      <c r="F74" s="2">
        <f>+'Nynas Group_Quarterly overview'!S81</f>
        <v>0</v>
      </c>
      <c r="G74" s="2">
        <f>+'Nynas Group_Quarterly overview'!T81</f>
        <v>0</v>
      </c>
      <c r="H74" s="1"/>
      <c r="I74" s="2">
        <f>+'Nynas Group_Quarterly overview'!Y81</f>
        <v>0</v>
      </c>
      <c r="J74" s="2">
        <f>+'Nynas Group_Quarterly overview'!Z81</f>
        <v>0</v>
      </c>
      <c r="K74" s="1"/>
      <c r="L74" s="1">
        <f>+'Nynas Group_Quarterly overview'!V81</f>
        <v>0</v>
      </c>
      <c r="M74" s="1">
        <f>+'Nynas Group_Quarterly overview'!W81</f>
        <v>0</v>
      </c>
    </row>
    <row r="75" spans="2:13" x14ac:dyDescent="0.25">
      <c r="B75" s="13" t="s">
        <v>51</v>
      </c>
      <c r="F75" s="2">
        <f>+'Nynas Group_Quarterly overview'!S82</f>
        <v>670.29993665273673</v>
      </c>
      <c r="G75" s="2">
        <f>+'Nynas Group_Quarterly overview'!T82</f>
        <v>-88.337000000001012</v>
      </c>
      <c r="H75" s="2"/>
      <c r="I75" s="2">
        <f>+'Nynas Group_Quarterly overview'!Y82</f>
        <v>-26.000999999999294</v>
      </c>
      <c r="J75" s="2">
        <f>+'Nynas Group_Quarterly overview'!Z82</f>
        <v>-583.73100000000045</v>
      </c>
      <c r="K75" s="2"/>
      <c r="L75" s="2">
        <f>+'Nynas Group_Quarterly overview'!V82</f>
        <v>582.99956468966298</v>
      </c>
      <c r="M75" s="2">
        <f>+'Nynas Group_Quarterly overview'!W82</f>
        <v>-367.62117105572452</v>
      </c>
    </row>
    <row r="76" spans="2:13" ht="9" customHeight="1" x14ac:dyDescent="0.25">
      <c r="B76" s="13"/>
    </row>
    <row r="77" spans="2:13" x14ac:dyDescent="0.25">
      <c r="B77" s="16" t="s">
        <v>52</v>
      </c>
      <c r="C77" s="17"/>
      <c r="D77" s="17"/>
      <c r="E77" s="17"/>
      <c r="F77" s="18">
        <f>+'Nynas Group_Quarterly overview'!S84</f>
        <v>1227.8423936339386</v>
      </c>
      <c r="G77" s="18">
        <f>+'Nynas Group_Quarterly overview'!T84</f>
        <v>644.84282894427554</v>
      </c>
      <c r="H77" s="2"/>
      <c r="I77" s="18">
        <f>+'Nynas Group_Quarterly overview'!Y84</f>
        <v>1227.8423936339386</v>
      </c>
      <c r="J77" s="18">
        <f>+'Nynas Group_Quarterly overview'!Z84</f>
        <v>644.84282894427554</v>
      </c>
      <c r="K77" s="2"/>
      <c r="L77" s="18">
        <f>+'Nynas Group_Quarterly overview'!V84</f>
        <v>1227.8423936339386</v>
      </c>
      <c r="M77" s="18">
        <f>+'Nynas Group_Quarterly overview'!W84</f>
        <v>644.84282894427554</v>
      </c>
    </row>
    <row r="78" spans="2:13" x14ac:dyDescent="0.25">
      <c r="B78" s="13"/>
    </row>
    <row r="79" spans="2:13" x14ac:dyDescent="0.25">
      <c r="B79" s="13"/>
    </row>
    <row r="80" spans="2:13" x14ac:dyDescent="0.25">
      <c r="B80" s="13"/>
    </row>
    <row r="81" spans="2:14" ht="24.75" thickBot="1" x14ac:dyDescent="0.45">
      <c r="B81" s="21" t="s">
        <v>53</v>
      </c>
      <c r="C81" s="22"/>
      <c r="D81" s="23"/>
      <c r="E81" s="23"/>
      <c r="F81" s="23"/>
      <c r="G81" s="23"/>
      <c r="H81" s="23"/>
      <c r="I81" s="23"/>
      <c r="J81" s="24"/>
      <c r="K81" s="23"/>
      <c r="L81" s="23"/>
      <c r="M81" s="23"/>
      <c r="N81" s="23"/>
    </row>
    <row r="82" spans="2:14" x14ac:dyDescent="0.25">
      <c r="B82" s="10"/>
    </row>
    <row r="83" spans="2:14" x14ac:dyDescent="0.25">
      <c r="B83" s="79" t="str">
        <f>+$L$5</f>
        <v>LTM</v>
      </c>
      <c r="C83" s="80"/>
      <c r="D83" s="80"/>
      <c r="E83" s="80"/>
      <c r="F83" s="100" t="s">
        <v>54</v>
      </c>
      <c r="G83" s="100"/>
      <c r="H83" s="100"/>
      <c r="I83" s="100"/>
      <c r="J83" s="80"/>
      <c r="K83" s="100" t="s">
        <v>55</v>
      </c>
      <c r="L83" s="100"/>
      <c r="M83" s="100"/>
      <c r="N83" s="100"/>
    </row>
    <row r="84" spans="2:14" x14ac:dyDescent="0.25">
      <c r="B84" s="79"/>
      <c r="C84" s="80"/>
      <c r="D84" s="80"/>
      <c r="E84" s="80"/>
      <c r="F84" s="81" t="s">
        <v>56</v>
      </c>
      <c r="G84" s="81" t="s">
        <v>57</v>
      </c>
      <c r="H84" s="82" t="s">
        <v>58</v>
      </c>
      <c r="I84" s="81" t="s">
        <v>59</v>
      </c>
      <c r="J84" s="83"/>
      <c r="K84" s="81" t="s">
        <v>60</v>
      </c>
      <c r="L84" s="81" t="s">
        <v>57</v>
      </c>
      <c r="M84" s="82" t="s">
        <v>58</v>
      </c>
      <c r="N84" s="81" t="s">
        <v>59</v>
      </c>
    </row>
    <row r="85" spans="2:14" x14ac:dyDescent="0.25">
      <c r="B85" s="84" t="s">
        <v>61</v>
      </c>
      <c r="C85" s="80"/>
      <c r="D85" s="80"/>
      <c r="E85" s="80"/>
      <c r="F85" s="77">
        <f>+'Nynas Group_Quarterly overview'!V89</f>
        <v>6570.0899999999992</v>
      </c>
      <c r="G85" s="77">
        <f>+'Nynas Group_Quarterly overview'!V99</f>
        <v>8908.0830000000005</v>
      </c>
      <c r="H85" s="77">
        <f>+'Nynas Group_Quarterly overview'!V109</f>
        <v>67.03</v>
      </c>
      <c r="I85" s="77">
        <f>SUM(F85:H85)</f>
        <v>15545.203</v>
      </c>
      <c r="J85" s="89"/>
      <c r="K85" s="77">
        <f>+'Nynas Group_Quarterly overview'!W89</f>
        <v>6214.9520000000002</v>
      </c>
      <c r="L85" s="77">
        <f>+'Nynas Group_Quarterly overview'!W99</f>
        <v>9353.3379999999997</v>
      </c>
      <c r="M85" s="77">
        <f>+'Nynas Group_Quarterly overview'!W109</f>
        <v>304.92500000000001</v>
      </c>
      <c r="N85" s="77">
        <f>SUM(K85:M85)</f>
        <v>15873.215</v>
      </c>
    </row>
    <row r="86" spans="2:14" ht="8.1" customHeight="1" x14ac:dyDescent="0.25">
      <c r="B86" s="84"/>
      <c r="C86" s="80"/>
      <c r="D86" s="80"/>
      <c r="E86" s="80"/>
      <c r="F86" s="78"/>
      <c r="G86" s="78"/>
      <c r="H86" s="78"/>
      <c r="I86" s="78"/>
      <c r="J86" s="89"/>
      <c r="K86" s="78"/>
      <c r="L86" s="78"/>
      <c r="M86" s="78"/>
      <c r="N86" s="78"/>
    </row>
    <row r="87" spans="2:14" x14ac:dyDescent="0.25">
      <c r="B87" s="79" t="s">
        <v>23</v>
      </c>
      <c r="C87" s="88"/>
      <c r="D87" s="88"/>
      <c r="E87" s="88"/>
      <c r="F87" s="90">
        <f t="shared" ref="F87:H87" si="4">F92-SUM(F88:F91)</f>
        <v>664.77</v>
      </c>
      <c r="G87" s="90">
        <f t="shared" si="4"/>
        <v>74.222000000000008</v>
      </c>
      <c r="H87" s="90">
        <f t="shared" si="4"/>
        <v>-1895.5888036677311</v>
      </c>
      <c r="I87" s="90">
        <f>+'Nynas Group_Quarterly overview'!V41</f>
        <v>-326.40028986694688</v>
      </c>
      <c r="J87" s="99"/>
      <c r="K87" s="90">
        <f t="shared" ref="K87" si="5">K92-SUM(K88:K91)</f>
        <v>686.86200000000008</v>
      </c>
      <c r="L87" s="90">
        <f t="shared" ref="L87" si="6">L92-SUM(L88:L91)</f>
        <v>64.515000000000001</v>
      </c>
      <c r="M87" s="90">
        <f t="shared" ref="M87" si="7">M92-SUM(M88:M91)</f>
        <v>-901.36610092384069</v>
      </c>
      <c r="N87" s="90">
        <f>+'Nynas Group_Quarterly overview'!W41</f>
        <v>761.53752787929511</v>
      </c>
    </row>
    <row r="88" spans="2:14" x14ac:dyDescent="0.25">
      <c r="B88" s="84" t="s">
        <v>19</v>
      </c>
      <c r="C88" s="80"/>
      <c r="D88" s="80"/>
      <c r="E88" s="80"/>
      <c r="F88" s="77"/>
      <c r="G88" s="77"/>
      <c r="H88" s="77">
        <f>$I$88-SUM(F88:G88)</f>
        <v>26.065300000000001</v>
      </c>
      <c r="I88" s="77">
        <f>-'Nynas Group_Quarterly overview'!V37</f>
        <v>26.065300000000001</v>
      </c>
      <c r="J88" s="89"/>
      <c r="K88" s="77"/>
      <c r="L88" s="77"/>
      <c r="M88" s="77">
        <f>N88-SUM(K88:L88)</f>
        <v>25.592339999999993</v>
      </c>
      <c r="N88" s="77">
        <f>-'Nynas Group_Quarterly overview'!W37</f>
        <v>25.592339999999993</v>
      </c>
    </row>
    <row r="89" spans="2:14" x14ac:dyDescent="0.25">
      <c r="B89" s="84" t="s">
        <v>20</v>
      </c>
      <c r="C89" s="80"/>
      <c r="D89" s="80"/>
      <c r="E89" s="80"/>
      <c r="F89" s="77"/>
      <c r="G89" s="77"/>
      <c r="H89" s="77">
        <f>$I$89-SUM(F89:G89)</f>
        <v>449.68664218229998</v>
      </c>
      <c r="I89" s="77">
        <f>-'Nynas Group_Quarterly overview'!V38</f>
        <v>449.68664218229998</v>
      </c>
      <c r="J89" s="89"/>
      <c r="K89" s="77"/>
      <c r="L89" s="77"/>
      <c r="M89" s="77">
        <f t="shared" ref="M89:M91" si="8">N89-SUM(K89:L89)</f>
        <v>-582.53165862189996</v>
      </c>
      <c r="N89" s="77">
        <f>-'Nynas Group_Quarterly overview'!W38</f>
        <v>-582.53165862189996</v>
      </c>
    </row>
    <row r="90" spans="2:14" x14ac:dyDescent="0.25">
      <c r="B90" s="84" t="s">
        <v>21</v>
      </c>
      <c r="C90" s="80"/>
      <c r="D90" s="80"/>
      <c r="E90" s="80"/>
      <c r="F90" s="77"/>
      <c r="G90" s="77"/>
      <c r="H90" s="77">
        <f>$I$90-SUM(F90:G90)</f>
        <v>209.18924957600001</v>
      </c>
      <c r="I90" s="77">
        <f>-'Nynas Group_Quarterly overview'!V39</f>
        <v>209.18924957600001</v>
      </c>
      <c r="J90" s="89"/>
      <c r="K90" s="77"/>
      <c r="L90" s="77"/>
      <c r="M90" s="77">
        <f t="shared" si="8"/>
        <v>236.899</v>
      </c>
      <c r="N90" s="77">
        <f>-'Nynas Group_Quarterly overview'!W39</f>
        <v>236.899</v>
      </c>
    </row>
    <row r="91" spans="2:14" x14ac:dyDescent="0.25">
      <c r="B91" s="85" t="s">
        <v>22</v>
      </c>
      <c r="C91" s="86"/>
      <c r="D91" s="86"/>
      <c r="E91" s="86"/>
      <c r="F91" s="87"/>
      <c r="G91" s="87"/>
      <c r="H91" s="87">
        <f>$I$91-SUM(F91:G91)</f>
        <v>965.8742119094311</v>
      </c>
      <c r="I91" s="87">
        <f>-'Nynas Group_Quarterly overview'!V40</f>
        <v>965.8742119094311</v>
      </c>
      <c r="J91" s="89"/>
      <c r="K91" s="87"/>
      <c r="L91" s="87"/>
      <c r="M91" s="87">
        <f t="shared" si="8"/>
        <v>948.83931954574064</v>
      </c>
      <c r="N91" s="87">
        <f>-'Nynas Group_Quarterly overview'!W40</f>
        <v>948.83931954574064</v>
      </c>
    </row>
    <row r="92" spans="2:14" x14ac:dyDescent="0.25">
      <c r="B92" s="79" t="s">
        <v>62</v>
      </c>
      <c r="C92" s="88"/>
      <c r="D92" s="88"/>
      <c r="E92" s="88"/>
      <c r="F92" s="90">
        <f>+I99</f>
        <v>664.77</v>
      </c>
      <c r="G92" s="90">
        <f>+I105</f>
        <v>74.222000000000008</v>
      </c>
      <c r="H92" s="90">
        <f>+I111</f>
        <v>-244.77339999999998</v>
      </c>
      <c r="I92" s="90">
        <f>SUM(I87:I91)</f>
        <v>1324.4151138007842</v>
      </c>
      <c r="J92" s="89"/>
      <c r="K92" s="90">
        <f>+$J$99</f>
        <v>686.86200000000008</v>
      </c>
      <c r="L92" s="90">
        <f>+$J$105</f>
        <v>64.515000000000001</v>
      </c>
      <c r="M92" s="90">
        <f>+$J$111</f>
        <v>-272.56709999999998</v>
      </c>
      <c r="N92" s="90">
        <f>SUM(N87:N91)</f>
        <v>1390.3365288031359</v>
      </c>
    </row>
    <row r="93" spans="2:14" x14ac:dyDescent="0.25">
      <c r="B93" s="79"/>
      <c r="C93" s="80"/>
      <c r="D93" s="80"/>
      <c r="E93" s="80"/>
      <c r="F93" s="89"/>
      <c r="G93" s="89"/>
      <c r="H93" s="89"/>
      <c r="I93" s="89"/>
      <c r="J93" s="89"/>
      <c r="K93" s="89"/>
      <c r="L93" s="89"/>
      <c r="M93" s="89"/>
      <c r="N93" s="89"/>
    </row>
    <row r="94" spans="2:14" x14ac:dyDescent="0.25">
      <c r="B94" s="79"/>
      <c r="C94" s="80"/>
      <c r="D94" s="80"/>
      <c r="E94" s="80"/>
      <c r="F94" s="89"/>
      <c r="G94" s="89"/>
      <c r="H94" s="89"/>
      <c r="I94" s="89"/>
      <c r="J94" s="89"/>
      <c r="K94" s="89"/>
      <c r="L94" s="89"/>
      <c r="M94" s="89"/>
      <c r="N94" s="89"/>
    </row>
    <row r="95" spans="2:14" x14ac:dyDescent="0.25">
      <c r="B95" s="79"/>
      <c r="C95" s="80"/>
      <c r="D95" s="80"/>
      <c r="E95" s="80"/>
      <c r="F95" s="111" t="str">
        <f>+$F$5</f>
        <v>Q2</v>
      </c>
      <c r="G95" s="111" t="str">
        <f>+$G$5</f>
        <v>Q2</v>
      </c>
      <c r="H95" s="112"/>
      <c r="I95" s="111" t="str">
        <f>+$L$5</f>
        <v>LTM</v>
      </c>
      <c r="J95" s="111" t="str">
        <f>+$M$5</f>
        <v>LTM</v>
      </c>
      <c r="K95" s="112"/>
      <c r="L95" s="111" t="s">
        <v>63</v>
      </c>
      <c r="M95" s="89"/>
      <c r="N95" s="89"/>
    </row>
    <row r="96" spans="2:14" x14ac:dyDescent="0.25">
      <c r="B96" s="79" t="s">
        <v>60</v>
      </c>
      <c r="C96" s="80"/>
      <c r="D96" s="80"/>
      <c r="E96" s="80"/>
      <c r="F96" s="113" t="str">
        <f>+F$6</f>
        <v>Q2 2025</v>
      </c>
      <c r="G96" s="113" t="str">
        <f>+G$6</f>
        <v>Q2 2024</v>
      </c>
      <c r="H96" s="80"/>
      <c r="I96" s="114">
        <f>+I$6</f>
        <v>2025</v>
      </c>
      <c r="J96" s="114">
        <f>+J$6</f>
        <v>2024</v>
      </c>
      <c r="K96" s="88"/>
      <c r="L96" s="115">
        <f>+L$6</f>
        <v>2025</v>
      </c>
      <c r="M96" s="115">
        <f>+M$6</f>
        <v>2024</v>
      </c>
      <c r="N96" s="89"/>
    </row>
    <row r="97" spans="2:14" x14ac:dyDescent="0.25">
      <c r="B97" s="84" t="s">
        <v>5</v>
      </c>
      <c r="C97" s="80"/>
      <c r="D97" s="80"/>
      <c r="E97" s="80"/>
      <c r="F97" s="77">
        <f>+'Nynas Group_Quarterly overview'!S89</f>
        <v>1551.289</v>
      </c>
      <c r="G97" s="77">
        <f>+'Nynas Group_Quarterly overview'!T89</f>
        <v>1643.2570000000001</v>
      </c>
      <c r="H97" s="80"/>
      <c r="I97" s="77">
        <f>+'Nynas Group_Quarterly overview'!Y89</f>
        <v>3203.0250000000001</v>
      </c>
      <c r="J97" s="77">
        <f>+'Nynas Group_Quarterly overview'!Z89</f>
        <v>3066.2920000000004</v>
      </c>
      <c r="K97" s="78"/>
      <c r="L97" s="77">
        <f>+'Nynas Group_Quarterly overview'!V89</f>
        <v>6570.0899999999992</v>
      </c>
      <c r="M97" s="77">
        <f>+'Nynas Group_Quarterly overview'!W89</f>
        <v>6214.9520000000002</v>
      </c>
      <c r="N97" s="89"/>
    </row>
    <row r="98" spans="2:14" x14ac:dyDescent="0.25">
      <c r="B98" s="84" t="s">
        <v>64</v>
      </c>
      <c r="C98" s="80"/>
      <c r="D98" s="80"/>
      <c r="E98" s="80"/>
      <c r="F98" s="77">
        <f>'Nynas Group_Quarterly overview'!S92</f>
        <v>112.337</v>
      </c>
      <c r="G98" s="77">
        <f>'Nynas Group_Quarterly overview'!T92</f>
        <v>108.494</v>
      </c>
      <c r="H98" s="80"/>
      <c r="I98" s="77">
        <f>'Nynas Group_Quarterly overview'!Y92</f>
        <v>225.74</v>
      </c>
      <c r="J98" s="77">
        <f>'Nynas Group_Quarterly overview'!Z92</f>
        <v>209.32300000000001</v>
      </c>
      <c r="K98" s="78"/>
      <c r="L98" s="77">
        <f>'Nynas Group_Quarterly overview'!V92</f>
        <v>454.38800000000003</v>
      </c>
      <c r="M98" s="77">
        <f>'Nynas Group_Quarterly overview'!W92</f>
        <v>414.63700000000006</v>
      </c>
      <c r="N98" s="89"/>
    </row>
    <row r="99" spans="2:14" x14ac:dyDescent="0.25">
      <c r="B99" s="84" t="s">
        <v>6</v>
      </c>
      <c r="C99" s="80"/>
      <c r="D99" s="80"/>
      <c r="E99" s="80"/>
      <c r="F99" s="77">
        <f>+'Nynas Group_Quarterly overview'!S93</f>
        <v>335.53100000000001</v>
      </c>
      <c r="G99" s="77">
        <f>+'Nynas Group_Quarterly overview'!T93</f>
        <v>304.32600000000002</v>
      </c>
      <c r="H99" s="89"/>
      <c r="I99" s="77">
        <f>+'Nynas Group_Quarterly overview'!Y93</f>
        <v>664.77</v>
      </c>
      <c r="J99" s="77">
        <f>+'Nynas Group_Quarterly overview'!Z93</f>
        <v>686.86200000000008</v>
      </c>
      <c r="K99" s="78"/>
      <c r="L99" s="77">
        <f>+'Nynas Group_Quarterly overview'!V93</f>
        <v>1306.077</v>
      </c>
      <c r="M99" s="77">
        <f>+'Nynas Group_Quarterly overview'!W93</f>
        <v>1419.7630000000001</v>
      </c>
      <c r="N99" s="89"/>
    </row>
    <row r="100" spans="2:14" x14ac:dyDescent="0.25">
      <c r="B100" s="84" t="s">
        <v>65</v>
      </c>
      <c r="C100" s="116"/>
      <c r="D100" s="116"/>
      <c r="E100" s="116"/>
      <c r="F100" s="117">
        <f>+'Nynas Group_Quarterly overview'!S96</f>
        <v>424.93</v>
      </c>
      <c r="G100" s="117">
        <f>+'Nynas Group_Quarterly overview'!T96</f>
        <v>348.42</v>
      </c>
      <c r="H100" s="80"/>
      <c r="I100" s="117">
        <f>+'Nynas Group_Quarterly overview'!Y96</f>
        <v>390.47</v>
      </c>
      <c r="J100" s="117">
        <f>+'Nynas Group_Quarterly overview'!Z96</f>
        <v>359.67</v>
      </c>
      <c r="K100" s="77"/>
      <c r="L100" s="117">
        <f>+'Nynas Group_Quarterly overview'!V96</f>
        <v>375.66</v>
      </c>
      <c r="M100" s="117">
        <f>+'Nynas Group_Quarterly overview'!W96</f>
        <v>374.61</v>
      </c>
      <c r="N100" s="89"/>
    </row>
    <row r="101" spans="2:14" x14ac:dyDescent="0.25">
      <c r="B101" s="84"/>
      <c r="C101" s="80"/>
      <c r="D101" s="80"/>
      <c r="E101" s="80"/>
      <c r="F101" s="78"/>
      <c r="G101" s="78"/>
      <c r="H101" s="89"/>
      <c r="I101" s="78"/>
      <c r="J101" s="78"/>
      <c r="K101" s="78"/>
      <c r="L101" s="78"/>
      <c r="M101" s="78"/>
      <c r="N101" s="89"/>
    </row>
    <row r="102" spans="2:14" x14ac:dyDescent="0.25">
      <c r="B102" s="79" t="s">
        <v>57</v>
      </c>
      <c r="C102" s="80"/>
      <c r="D102" s="80"/>
      <c r="E102" s="80"/>
      <c r="F102" s="78"/>
      <c r="G102" s="78"/>
      <c r="H102" s="89"/>
      <c r="I102" s="78"/>
      <c r="J102" s="78"/>
      <c r="K102" s="78"/>
      <c r="L102" s="78"/>
      <c r="M102" s="78"/>
      <c r="N102" s="89"/>
    </row>
    <row r="103" spans="2:14" x14ac:dyDescent="0.25">
      <c r="B103" s="84" t="s">
        <v>5</v>
      </c>
      <c r="C103" s="80"/>
      <c r="D103" s="80"/>
      <c r="E103" s="80"/>
      <c r="F103" s="77">
        <f>+'Nynas Group_Quarterly overview'!S99</f>
        <v>2609.6039999999998</v>
      </c>
      <c r="G103" s="77">
        <f>+'Nynas Group_Quarterly overview'!T99</f>
        <v>2871.6669999999999</v>
      </c>
      <c r="H103" s="80"/>
      <c r="I103" s="77">
        <f>+'Nynas Group_Quarterly overview'!Y99</f>
        <v>3801.1959999999999</v>
      </c>
      <c r="J103" s="77">
        <f>+'Nynas Group_Quarterly overview'!Z99</f>
        <v>4350.3899999999994</v>
      </c>
      <c r="K103" s="77"/>
      <c r="L103" s="77">
        <f>+'Nynas Group_Quarterly overview'!V99</f>
        <v>8908.0830000000005</v>
      </c>
      <c r="M103" s="77">
        <f>+'Nynas Group_Quarterly overview'!W99</f>
        <v>9353.3379999999997</v>
      </c>
      <c r="N103" s="89"/>
    </row>
    <row r="104" spans="2:14" x14ac:dyDescent="0.25">
      <c r="B104" s="84" t="s">
        <v>64</v>
      </c>
      <c r="C104" s="80"/>
      <c r="D104" s="80"/>
      <c r="E104" s="80"/>
      <c r="F104" s="77">
        <f>'Nynas Group_Quarterly overview'!S102</f>
        <v>440.06799999999998</v>
      </c>
      <c r="G104" s="77">
        <f>'Nynas Group_Quarterly overview'!T102</f>
        <v>405.23200000000003</v>
      </c>
      <c r="H104" s="80"/>
      <c r="I104" s="77">
        <f>'Nynas Group_Quarterly overview'!Y102</f>
        <v>622.77</v>
      </c>
      <c r="J104" s="77">
        <f>'Nynas Group_Quarterly overview'!Z102</f>
        <v>614.66499999999996</v>
      </c>
      <c r="K104" s="77"/>
      <c r="L104" s="77">
        <f>'Nynas Group_Quarterly overview'!V102</f>
        <v>1389.375</v>
      </c>
      <c r="M104" s="77">
        <f>'Nynas Group_Quarterly overview'!W102</f>
        <v>1259.712</v>
      </c>
      <c r="N104" s="89"/>
    </row>
    <row r="105" spans="2:14" x14ac:dyDescent="0.25">
      <c r="B105" s="84" t="s">
        <v>6</v>
      </c>
      <c r="C105" s="80"/>
      <c r="D105" s="80"/>
      <c r="E105" s="80"/>
      <c r="F105" s="77">
        <f>+'Nynas Group_Quarterly overview'!S103</f>
        <v>156.36500000000001</v>
      </c>
      <c r="G105" s="77">
        <f>+'Nynas Group_Quarterly overview'!T103</f>
        <v>168.999</v>
      </c>
      <c r="H105" s="89"/>
      <c r="I105" s="77">
        <f>+'Nynas Group_Quarterly overview'!Y103</f>
        <v>74.222000000000008</v>
      </c>
      <c r="J105" s="77">
        <f>+'Nynas Group_Quarterly overview'!Z103</f>
        <v>64.515000000000001</v>
      </c>
      <c r="K105" s="78"/>
      <c r="L105" s="77">
        <f>+'Nynas Group_Quarterly overview'!V103</f>
        <v>262.86800000000005</v>
      </c>
      <c r="M105" s="77">
        <f>+'Nynas Group_Quarterly overview'!W103</f>
        <v>243.14100000000002</v>
      </c>
      <c r="N105" s="89"/>
    </row>
    <row r="106" spans="2:14" x14ac:dyDescent="0.25">
      <c r="B106" s="84" t="s">
        <v>65</v>
      </c>
      <c r="C106" s="116"/>
      <c r="D106" s="116"/>
      <c r="E106" s="116"/>
      <c r="F106" s="117">
        <f>+'Nynas Group_Quarterly overview'!S106</f>
        <v>69.64</v>
      </c>
      <c r="G106" s="117">
        <f>+'Nynas Group_Quarterly overview'!T106</f>
        <v>66.849999999999994</v>
      </c>
      <c r="H106" s="80"/>
      <c r="I106" s="117">
        <f>+'Nynas Group_Quarterly overview'!Y106</f>
        <v>61.58</v>
      </c>
      <c r="J106" s="117">
        <f>+'Nynas Group_Quarterly overview'!Z106</f>
        <v>48.47</v>
      </c>
      <c r="K106" s="77"/>
      <c r="L106" s="117">
        <f>+'Nynas Group_Quarterly overview'!V106</f>
        <v>61.32</v>
      </c>
      <c r="M106" s="117">
        <f>+'Nynas Group_Quarterly overview'!W106</f>
        <v>58.29</v>
      </c>
      <c r="N106" s="89"/>
    </row>
    <row r="107" spans="2:14" x14ac:dyDescent="0.25">
      <c r="B107" s="79"/>
      <c r="C107" s="80"/>
      <c r="D107" s="80"/>
      <c r="E107" s="80"/>
      <c r="F107" s="78"/>
      <c r="G107" s="78"/>
      <c r="H107" s="89"/>
      <c r="I107" s="78"/>
      <c r="J107" s="78"/>
      <c r="K107" s="78"/>
      <c r="L107" s="78"/>
      <c r="M107" s="89"/>
      <c r="N107" s="89"/>
    </row>
    <row r="108" spans="2:14" x14ac:dyDescent="0.25">
      <c r="B108" s="79" t="s">
        <v>58</v>
      </c>
      <c r="C108" s="80"/>
      <c r="D108" s="80"/>
      <c r="E108" s="80"/>
      <c r="F108" s="78"/>
      <c r="G108" s="78"/>
      <c r="H108" s="89"/>
      <c r="I108" s="78"/>
      <c r="J108" s="78"/>
      <c r="K108" s="78"/>
      <c r="L108" s="78"/>
      <c r="M108" s="89"/>
      <c r="N108" s="89"/>
    </row>
    <row r="109" spans="2:14" x14ac:dyDescent="0.25">
      <c r="B109" s="84" t="s">
        <v>5</v>
      </c>
      <c r="C109" s="80"/>
      <c r="D109" s="80"/>
      <c r="E109" s="80"/>
      <c r="F109" s="90">
        <f>+'Nynas Group_Quarterly overview'!S109</f>
        <v>0</v>
      </c>
      <c r="G109" s="90">
        <f>+'Nynas Group_Quarterly overview'!T109</f>
        <v>13.734</v>
      </c>
      <c r="H109" s="88"/>
      <c r="I109" s="90">
        <f>+'Nynas Group_Quarterly overview'!V109</f>
        <v>67.03</v>
      </c>
      <c r="J109" s="90">
        <f>+'Nynas Group_Quarterly overview'!W109</f>
        <v>304.92500000000001</v>
      </c>
      <c r="K109" s="90"/>
      <c r="L109" s="90">
        <f>+'Nynas Group_Quarterly overview'!V109</f>
        <v>67.03</v>
      </c>
      <c r="M109" s="90">
        <f>+'Nynas Group_Quarterly overview'!W109</f>
        <v>304.92500000000001</v>
      </c>
      <c r="N109" s="89"/>
    </row>
    <row r="110" spans="2:14" x14ac:dyDescent="0.25">
      <c r="B110" s="84" t="s">
        <v>64</v>
      </c>
      <c r="C110" s="80"/>
      <c r="D110" s="80"/>
      <c r="E110" s="80"/>
      <c r="F110" s="77">
        <f>+'Nynas Group_Quarterly overview'!S110</f>
        <v>0</v>
      </c>
      <c r="G110" s="77">
        <f>+'Nynas Group_Quarterly overview'!T110</f>
        <v>2.06</v>
      </c>
      <c r="H110" s="80"/>
      <c r="I110" s="77">
        <f>+'Nynas Group_Quarterly overview'!V110</f>
        <v>9.6840000000000011</v>
      </c>
      <c r="J110" s="77">
        <f>+'Nynas Group_Quarterly overview'!W110</f>
        <v>56.315999999999995</v>
      </c>
      <c r="K110" s="77"/>
      <c r="L110" s="77">
        <f>+'Nynas Group_Quarterly overview'!V110</f>
        <v>9.6840000000000011</v>
      </c>
      <c r="M110" s="77">
        <f>+'Nynas Group_Quarterly overview'!W110</f>
        <v>56.315999999999995</v>
      </c>
      <c r="N110" s="89"/>
    </row>
    <row r="111" spans="2:14" x14ac:dyDescent="0.25">
      <c r="B111" s="84" t="s">
        <v>6</v>
      </c>
      <c r="C111" s="80"/>
      <c r="D111" s="80"/>
      <c r="E111" s="80"/>
      <c r="F111" s="77">
        <f>+'Nynas Group_Quarterly overview'!S111</f>
        <v>-65.499000000000009</v>
      </c>
      <c r="G111" s="77">
        <f>+'Nynas Group_Quarterly overview'!T111</f>
        <v>-75.285299999999992</v>
      </c>
      <c r="H111" s="89"/>
      <c r="I111" s="77">
        <f>+'Nynas Group_Quarterly overview'!V111</f>
        <v>-244.77339999999998</v>
      </c>
      <c r="J111" s="77">
        <f>+'Nynas Group_Quarterly overview'!W111</f>
        <v>-272.56709999999998</v>
      </c>
      <c r="K111" s="78"/>
      <c r="L111" s="77">
        <f>+'Nynas Group_Quarterly overview'!V111</f>
        <v>-244.77339999999998</v>
      </c>
      <c r="M111" s="77">
        <f>+'Nynas Group_Quarterly overview'!W111</f>
        <v>-272.56709999999998</v>
      </c>
      <c r="N111" s="89"/>
    </row>
    <row r="112" spans="2:14" x14ac:dyDescent="0.25">
      <c r="B112" s="13"/>
    </row>
    <row r="115" spans="2:14" ht="24.75" thickBot="1" x14ac:dyDescent="0.45">
      <c r="B115" s="21" t="s">
        <v>66</v>
      </c>
      <c r="C115" s="22"/>
      <c r="D115" s="23"/>
      <c r="E115" s="23"/>
      <c r="F115" s="23"/>
      <c r="G115" s="23"/>
      <c r="H115" s="23"/>
      <c r="I115" s="23"/>
      <c r="J115" s="24"/>
      <c r="K115" s="23"/>
      <c r="L115" s="23"/>
      <c r="M115" s="23"/>
      <c r="N115" s="23"/>
    </row>
    <row r="116" spans="2:14" ht="15.75" customHeight="1" x14ac:dyDescent="0.4">
      <c r="B116" s="3"/>
      <c r="C116" s="4"/>
      <c r="J116" s="26"/>
    </row>
    <row r="117" spans="2:14" ht="15.75" customHeight="1" x14ac:dyDescent="0.25">
      <c r="B117" s="7"/>
      <c r="F117" s="72"/>
      <c r="G117"/>
      <c r="H117"/>
      <c r="I117"/>
      <c r="J117"/>
      <c r="K117"/>
      <c r="L117"/>
      <c r="M117" s="73"/>
      <c r="N117" s="74"/>
    </row>
    <row r="118" spans="2:14" ht="15.75" customHeight="1" x14ac:dyDescent="0.25">
      <c r="B118" s="7"/>
      <c r="F118" s="7"/>
      <c r="G118" s="7"/>
      <c r="J118" s="7"/>
      <c r="K118" s="7"/>
      <c r="M118" s="7"/>
    </row>
    <row r="119" spans="2:14" ht="15.75" customHeight="1" x14ac:dyDescent="0.25">
      <c r="B119" s="7" t="s">
        <v>67</v>
      </c>
      <c r="E119" s="9" t="s">
        <v>68</v>
      </c>
      <c r="F119" s="109" t="str">
        <f>+$F$5</f>
        <v>Q2</v>
      </c>
      <c r="G119" s="109" t="str">
        <f>+$G$5</f>
        <v>Q2</v>
      </c>
      <c r="H119" s="11"/>
      <c r="I119" s="109" t="str">
        <f>+$F$5</f>
        <v>Q2</v>
      </c>
      <c r="J119" s="109" t="str">
        <f>+$G$5</f>
        <v>Q2</v>
      </c>
      <c r="K119" s="110"/>
      <c r="L119" s="109" t="str">
        <f>+$L$5</f>
        <v>LTM</v>
      </c>
      <c r="M119" s="109" t="str">
        <f>+$M$5</f>
        <v>LTM</v>
      </c>
      <c r="N119" s="12"/>
    </row>
    <row r="120" spans="2:14" ht="15.75" customHeight="1" x14ac:dyDescent="0.25">
      <c r="E120" s="11"/>
      <c r="F120" s="107" t="str">
        <f>+F$6</f>
        <v>Q2 2025</v>
      </c>
      <c r="G120" s="107" t="str">
        <f>+G$6</f>
        <v>Q2 2024</v>
      </c>
      <c r="I120" s="106">
        <f>+I$6</f>
        <v>2025</v>
      </c>
      <c r="J120" s="106">
        <f>+J$6</f>
        <v>2024</v>
      </c>
      <c r="K120" s="7"/>
      <c r="L120" s="108">
        <f>+L$6</f>
        <v>2025</v>
      </c>
      <c r="M120" s="108">
        <f>+M$6</f>
        <v>2024</v>
      </c>
      <c r="N120" s="14"/>
    </row>
    <row r="121" spans="2:14" ht="15.75" customHeight="1" x14ac:dyDescent="0.25">
      <c r="B121" s="5" t="s">
        <v>5</v>
      </c>
      <c r="E121" s="20">
        <v>2</v>
      </c>
      <c r="F121" s="1">
        <f>+'Nynas Group_Quarterly overview'!S122</f>
        <v>4160.8924920259997</v>
      </c>
      <c r="G121" s="1">
        <f>+'Nynas Group_Quarterly overview'!T122</f>
        <v>4528.6579999999994</v>
      </c>
      <c r="H121" s="15"/>
      <c r="I121" s="1">
        <f>+'Nynas Group_Quarterly overview'!Y122</f>
        <v>7004.2209873758002</v>
      </c>
      <c r="J121" s="1">
        <f>+'Nynas Group_Quarterly overview'!Z122</f>
        <v>7452.5319999999992</v>
      </c>
      <c r="K121" s="15"/>
      <c r="L121" s="1">
        <f>+'Nynas Group_Quarterly overview'!V122</f>
        <v>15545.202510020701</v>
      </c>
      <c r="M121" s="1">
        <f>+'Nynas Group_Quarterly overview'!W122</f>
        <v>15873.214901464604</v>
      </c>
    </row>
    <row r="122" spans="2:14" ht="15.75" customHeight="1" x14ac:dyDescent="0.25">
      <c r="B122" s="5" t="s">
        <v>69</v>
      </c>
      <c r="E122" s="20">
        <v>3</v>
      </c>
      <c r="F122" s="1">
        <f>+'Nynas Group_Quarterly overview'!S123</f>
        <v>-3476.9279173051987</v>
      </c>
      <c r="G122" s="1">
        <f>+'Nynas Group_Quarterly overview'!T123</f>
        <v>-3723.1800000000003</v>
      </c>
      <c r="H122" s="15"/>
      <c r="I122" s="1">
        <f>+'Nynas Group_Quarterly overview'!Y123</f>
        <v>-5965.7493821877988</v>
      </c>
      <c r="J122" s="1">
        <f>+'Nynas Group_Quarterly overview'!Z123</f>
        <v>-6225.5630000000001</v>
      </c>
      <c r="K122" s="15"/>
      <c r="L122" s="1">
        <f>+'Nynas Group_Quarterly overview'!V123</f>
        <v>-13370.518675548703</v>
      </c>
      <c r="M122" s="1">
        <f>+'Nynas Group_Quarterly overview'!W123</f>
        <v>-12764.226202210404</v>
      </c>
    </row>
    <row r="123" spans="2:14" ht="15.75" customHeight="1" x14ac:dyDescent="0.25">
      <c r="B123" s="27" t="s">
        <v>70</v>
      </c>
      <c r="C123" s="27"/>
      <c r="D123" s="27"/>
      <c r="E123" s="28"/>
      <c r="F123" s="29">
        <f>SUM(F121:F122)</f>
        <v>683.96457472080101</v>
      </c>
      <c r="G123" s="29">
        <f>SUM(G121:G122)</f>
        <v>805.47799999999916</v>
      </c>
      <c r="H123" s="15"/>
      <c r="I123" s="29">
        <f>SUM(I121:I122)</f>
        <v>1038.4716051880014</v>
      </c>
      <c r="J123" s="29">
        <f>SUM(J121:J122)</f>
        <v>1226.9689999999991</v>
      </c>
      <c r="K123" s="12"/>
      <c r="L123" s="29">
        <f>SUM(L121:L122)</f>
        <v>2174.6838344719981</v>
      </c>
      <c r="M123" s="29">
        <f>SUM(M121:M122)</f>
        <v>3108.9886992541997</v>
      </c>
    </row>
    <row r="124" spans="2:14" ht="15.75" customHeight="1" x14ac:dyDescent="0.25">
      <c r="E124" s="20"/>
      <c r="F124" s="1"/>
      <c r="G124" s="1"/>
      <c r="H124" s="15"/>
      <c r="I124" s="1"/>
      <c r="J124" s="1"/>
      <c r="K124" s="15"/>
      <c r="L124" s="1"/>
      <c r="M124" s="1"/>
    </row>
    <row r="125" spans="2:14" ht="15.75" customHeight="1" x14ac:dyDescent="0.25">
      <c r="B125" s="5" t="s">
        <v>71</v>
      </c>
      <c r="E125" s="30" t="s">
        <v>72</v>
      </c>
      <c r="F125" s="1">
        <f>+'Nynas Group_Quarterly overview'!S126</f>
        <v>0</v>
      </c>
      <c r="G125" s="1">
        <f>+'Nynas Group_Quarterly overview'!T126</f>
        <v>0</v>
      </c>
      <c r="H125" s="15"/>
      <c r="I125" s="1">
        <f>+'Nynas Group_Quarterly overview'!Y126</f>
        <v>0</v>
      </c>
      <c r="J125" s="1">
        <f>+'Nynas Group_Quarterly overview'!Z126</f>
        <v>108.687</v>
      </c>
      <c r="K125" s="15"/>
      <c r="L125" s="1">
        <f>+'Nynas Group_Quarterly overview'!V126</f>
        <v>0</v>
      </c>
      <c r="M125" s="1">
        <f>+'Nynas Group_Quarterly overview'!W126</f>
        <v>150.036</v>
      </c>
    </row>
    <row r="126" spans="2:14" ht="15.75" customHeight="1" x14ac:dyDescent="0.25">
      <c r="B126" s="5" t="s">
        <v>73</v>
      </c>
      <c r="E126" s="20">
        <v>3</v>
      </c>
      <c r="F126" s="1">
        <f>+'Nynas Group_Quarterly overview'!S127</f>
        <v>-517.88121243889987</v>
      </c>
      <c r="G126" s="1">
        <f>+'Nynas Group_Quarterly overview'!T127</f>
        <v>-532.346</v>
      </c>
      <c r="H126" s="15"/>
      <c r="I126" s="1">
        <f>+'Nynas Group_Quarterly overview'!Y127</f>
        <v>-954.45709676119986</v>
      </c>
      <c r="J126" s="1">
        <f>+'Nynas Group_Quarterly overview'!Z127</f>
        <v>-958.03600000000006</v>
      </c>
      <c r="K126" s="15"/>
      <c r="L126" s="1">
        <f>+'Nynas Group_Quarterly overview'!V127</f>
        <v>-2052.1415634060359</v>
      </c>
      <c r="M126" s="1">
        <f>+'Nynas Group_Quarterly overview'!W127</f>
        <v>-1807.3832656358063</v>
      </c>
    </row>
    <row r="127" spans="2:14" ht="15.75" customHeight="1" x14ac:dyDescent="0.25">
      <c r="B127" s="5" t="s">
        <v>74</v>
      </c>
      <c r="E127" s="20">
        <v>3</v>
      </c>
      <c r="F127" s="1">
        <f>+'Nynas Group_Quarterly overview'!S128</f>
        <v>-95.348260652100009</v>
      </c>
      <c r="G127" s="1">
        <f>+'Nynas Group_Quarterly overview'!T128</f>
        <v>-107.14100000000001</v>
      </c>
      <c r="H127" s="15"/>
      <c r="I127" s="1">
        <f>+'Nynas Group_Quarterly overview'!Y128</f>
        <v>-186.12087792530002</v>
      </c>
      <c r="J127" s="1">
        <f>+'Nynas Group_Quarterly overview'!Z128</f>
        <v>-215.334</v>
      </c>
      <c r="K127" s="15"/>
      <c r="L127" s="1">
        <f>+'Nynas Group_Quarterly overview'!V128</f>
        <v>-411.31072264480002</v>
      </c>
      <c r="M127" s="1">
        <f>+'Nynas Group_Quarterly overview'!W128</f>
        <v>-639.99790100389998</v>
      </c>
    </row>
    <row r="128" spans="2:14" ht="15.75" customHeight="1" x14ac:dyDescent="0.25">
      <c r="B128" s="5" t="s">
        <v>75</v>
      </c>
      <c r="E128" s="20">
        <v>15</v>
      </c>
      <c r="F128" s="1">
        <f>+'Nynas Group_Quarterly overview'!S129</f>
        <v>6.46028</v>
      </c>
      <c r="G128" s="1">
        <f>+'Nynas Group_Quarterly overview'!T129</f>
        <v>0.20800000000000018</v>
      </c>
      <c r="H128" s="15"/>
      <c r="I128" s="1">
        <f>+'Nynas Group_Quarterly overview'!Y129</f>
        <v>13.18712</v>
      </c>
      <c r="J128" s="1">
        <f>+'Nynas Group_Quarterly overview'!Z129</f>
        <v>7.3140000000000001</v>
      </c>
      <c r="K128" s="15"/>
      <c r="L128" s="1">
        <f>+'Nynas Group_Quarterly overview'!V129</f>
        <v>26.065300000000001</v>
      </c>
      <c r="M128" s="1">
        <f>+'Nynas Group_Quarterly overview'!W129</f>
        <v>25.592339999999993</v>
      </c>
    </row>
    <row r="129" spans="2:13" ht="15.75" customHeight="1" x14ac:dyDescent="0.25">
      <c r="B129" s="5" t="s">
        <v>76</v>
      </c>
      <c r="E129" s="20">
        <v>4</v>
      </c>
      <c r="F129" s="1">
        <f>+'Nynas Group_Quarterly overview'!S130</f>
        <v>87.556619651500043</v>
      </c>
      <c r="G129" s="1">
        <f>+'Nynas Group_Quarterly overview'!T130</f>
        <v>102.455</v>
      </c>
      <c r="H129" s="15"/>
      <c r="I129" s="1">
        <f>+'Nynas Group_Quarterly overview'!Y130</f>
        <v>169.61119003180002</v>
      </c>
      <c r="J129" s="1">
        <f>+'Nynas Group_Quarterly overview'!Z130</f>
        <v>280.86899999999997</v>
      </c>
      <c r="K129" s="15"/>
      <c r="L129" s="1">
        <f>+'Nynas Group_Quarterly overview'!V130</f>
        <v>418.48094597884841</v>
      </c>
      <c r="M129" s="1">
        <f>+'Nynas Group_Quarterly overview'!W130</f>
        <v>497.10795098499898</v>
      </c>
    </row>
    <row r="130" spans="2:13" ht="15.75" customHeight="1" x14ac:dyDescent="0.25">
      <c r="B130" s="5" t="s">
        <v>77</v>
      </c>
      <c r="E130" s="20">
        <v>4</v>
      </c>
      <c r="F130" s="1">
        <f>+'Nynas Group_Quarterly overview'!S131</f>
        <v>-107.73643327630003</v>
      </c>
      <c r="G130" s="1">
        <f>+'Nynas Group_Quarterly overview'!T131</f>
        <v>-120.622</v>
      </c>
      <c r="H130" s="15"/>
      <c r="I130" s="1">
        <f>+'Nynas Group_Quarterly overview'!Y131</f>
        <v>-265.00353347820004</v>
      </c>
      <c r="J130" s="1">
        <f>+'Nynas Group_Quarterly overview'!Z131</f>
        <v>-239.464</v>
      </c>
      <c r="K130" s="15"/>
      <c r="L130" s="1">
        <f>+'Nynas Group_Quarterly overview'!V131</f>
        <v>-482.17808426695535</v>
      </c>
      <c r="M130" s="1">
        <f>+'Nynas Group_Quarterly overview'!W131</f>
        <v>-572.80629572019905</v>
      </c>
    </row>
    <row r="131" spans="2:13" ht="15.75" customHeight="1" x14ac:dyDescent="0.25">
      <c r="B131" s="27" t="s">
        <v>23</v>
      </c>
      <c r="C131" s="27"/>
      <c r="D131" s="27"/>
      <c r="E131" s="28" t="s">
        <v>78</v>
      </c>
      <c r="F131" s="29">
        <f>SUM(F123:F130)</f>
        <v>57.015568005001143</v>
      </c>
      <c r="G131" s="29">
        <f>SUM(G123:G130)</f>
        <v>148.03199999999913</v>
      </c>
      <c r="H131" s="15"/>
      <c r="I131" s="29">
        <f>SUM(I123:I130)</f>
        <v>-184.31159294489854</v>
      </c>
      <c r="J131" s="29">
        <f>SUM(J123:J130)</f>
        <v>211.00499999999892</v>
      </c>
      <c r="K131" s="12"/>
      <c r="L131" s="29">
        <f>SUM(L123:L130)</f>
        <v>-326.40028986694472</v>
      </c>
      <c r="M131" s="29">
        <f>SUM(M123:M130)</f>
        <v>761.53752787929341</v>
      </c>
    </row>
    <row r="132" spans="2:13" ht="15.75" customHeight="1" x14ac:dyDescent="0.25">
      <c r="B132" s="7"/>
      <c r="C132" s="7"/>
      <c r="D132" s="7"/>
      <c r="E132" s="31"/>
      <c r="F132" s="32"/>
      <c r="G132" s="32"/>
      <c r="H132" s="15"/>
      <c r="I132" s="32"/>
      <c r="J132" s="32"/>
      <c r="K132" s="12"/>
      <c r="L132" s="32"/>
      <c r="M132" s="32"/>
    </row>
    <row r="133" spans="2:13" ht="15.75" customHeight="1" x14ac:dyDescent="0.25">
      <c r="B133" s="5" t="s">
        <v>79</v>
      </c>
      <c r="E133" s="33">
        <v>9</v>
      </c>
      <c r="F133" s="1">
        <f>+'Nynas Group_Quarterly overview'!S134</f>
        <v>-156.92126039734501</v>
      </c>
      <c r="G133" s="1">
        <f>+'Nynas Group_Quarterly overview'!T134</f>
        <v>114.34399999999999</v>
      </c>
      <c r="H133" s="15"/>
      <c r="I133" s="1">
        <f>+'Nynas Group_Quarterly overview'!Y134</f>
        <v>108.48043820056</v>
      </c>
      <c r="J133" s="1">
        <f>+'Nynas Group_Quarterly overview'!Z134</f>
        <v>139.137</v>
      </c>
      <c r="K133" s="15"/>
      <c r="L133" s="1">
        <f>+'Nynas Group_Quarterly overview'!V134</f>
        <v>-3.3240170054189946</v>
      </c>
      <c r="M133" s="1">
        <f>+'Nynas Group_Quarterly overview'!W134</f>
        <v>68.404502366768014</v>
      </c>
    </row>
    <row r="134" spans="2:13" ht="15.75" customHeight="1" x14ac:dyDescent="0.25">
      <c r="B134" s="5" t="s">
        <v>80</v>
      </c>
      <c r="E134" s="33">
        <v>9</v>
      </c>
      <c r="F134" s="1">
        <f>+'Nynas Group_Quarterly overview'!S135</f>
        <v>-141.03461124858711</v>
      </c>
      <c r="G134" s="1">
        <f>+'Nynas Group_Quarterly overview'!T135</f>
        <v>-195.04600000000002</v>
      </c>
      <c r="H134" s="15"/>
      <c r="I134" s="1">
        <f>+'Nynas Group_Quarterly overview'!Y135</f>
        <v>-446.30408554932808</v>
      </c>
      <c r="J134" s="1">
        <f>+'Nynas Group_Quarterly overview'!Z135</f>
        <v>-396.26100000000002</v>
      </c>
      <c r="K134" s="15"/>
      <c r="L134" s="1">
        <f>+'Nynas Group_Quarterly overview'!V135</f>
        <v>-594.98550873163902</v>
      </c>
      <c r="M134" s="1">
        <f>+'Nynas Group_Quarterly overview'!W135</f>
        <v>-444.86020130178736</v>
      </c>
    </row>
    <row r="135" spans="2:13" ht="15.75" customHeight="1" x14ac:dyDescent="0.25">
      <c r="B135" s="27" t="s">
        <v>81</v>
      </c>
      <c r="C135" s="27"/>
      <c r="D135" s="27"/>
      <c r="E135" s="34"/>
      <c r="F135" s="29">
        <f>SUM(F133:F134)</f>
        <v>-297.95587164593212</v>
      </c>
      <c r="G135" s="29">
        <f>SUM(G133:G134)</f>
        <v>-80.702000000000027</v>
      </c>
      <c r="H135" s="15"/>
      <c r="I135" s="29">
        <f>SUM(I133:I134)</f>
        <v>-337.82364734876808</v>
      </c>
      <c r="J135" s="29">
        <f>SUM(J133:J134)</f>
        <v>-257.12400000000002</v>
      </c>
      <c r="K135" s="12"/>
      <c r="L135" s="29">
        <f>SUM(L133:L134)</f>
        <v>-598.30952573705804</v>
      </c>
      <c r="M135" s="29">
        <f>SUM(M133:M134)</f>
        <v>-376.45569893501931</v>
      </c>
    </row>
    <row r="136" spans="2:13" ht="15.75" customHeight="1" x14ac:dyDescent="0.25">
      <c r="E136" s="20"/>
      <c r="F136" s="32"/>
      <c r="G136" s="32"/>
      <c r="H136" s="15"/>
      <c r="I136" s="32"/>
      <c r="J136" s="32"/>
      <c r="K136" s="15"/>
      <c r="L136" s="32"/>
      <c r="M136" s="32"/>
    </row>
    <row r="137" spans="2:13" ht="15.75" customHeight="1" x14ac:dyDescent="0.25">
      <c r="B137" s="7" t="s">
        <v>25</v>
      </c>
      <c r="C137" s="7"/>
      <c r="D137" s="7"/>
      <c r="E137" s="31"/>
      <c r="F137" s="32">
        <f>+F131+F135</f>
        <v>-240.94030364093098</v>
      </c>
      <c r="G137" s="32">
        <f>+G131+G135</f>
        <v>67.329999999999103</v>
      </c>
      <c r="H137" s="32"/>
      <c r="I137" s="32">
        <f>+I131+I135</f>
        <v>-522.13524029366658</v>
      </c>
      <c r="J137" s="32">
        <f>+J131+J135</f>
        <v>-46.119000000001108</v>
      </c>
      <c r="K137" s="12"/>
      <c r="L137" s="32">
        <f>+L131+L135</f>
        <v>-924.70981560400276</v>
      </c>
      <c r="M137" s="32">
        <f>+M131+M135</f>
        <v>385.08182894427409</v>
      </c>
    </row>
    <row r="138" spans="2:13" ht="15.75" customHeight="1" x14ac:dyDescent="0.25">
      <c r="B138" s="7"/>
      <c r="C138" s="7"/>
      <c r="D138" s="7"/>
      <c r="E138" s="31"/>
      <c r="F138" s="32"/>
      <c r="G138" s="32"/>
      <c r="H138" s="32"/>
      <c r="I138" s="32"/>
      <c r="J138" s="32"/>
      <c r="K138" s="12"/>
      <c r="L138" s="32"/>
      <c r="M138" s="32"/>
    </row>
    <row r="139" spans="2:13" ht="15.75" customHeight="1" x14ac:dyDescent="0.25">
      <c r="B139" s="5" t="s">
        <v>26</v>
      </c>
      <c r="E139" s="20">
        <v>10</v>
      </c>
      <c r="F139" s="1">
        <f>+'Nynas Group_Quarterly overview'!S139</f>
        <v>-3.7493213078689962</v>
      </c>
      <c r="G139" s="1">
        <f>+'Nynas Group_Quarterly overview'!T139</f>
        <v>-4.8160000000000007</v>
      </c>
      <c r="H139" s="15"/>
      <c r="I139" s="1">
        <f>+'Nynas Group_Quarterly overview'!Y139</f>
        <v>-16.570018416839996</v>
      </c>
      <c r="J139" s="1">
        <f>+'Nynas Group_Quarterly overview'!Z139</f>
        <v>-10.855</v>
      </c>
      <c r="K139" s="15"/>
      <c r="L139" s="1">
        <f>+'Nynas Group_Quarterly overview'!V139</f>
        <v>-9.3450983014369946</v>
      </c>
      <c r="M139" s="1">
        <f>+'Nynas Group_Quarterly overview'!W139</f>
        <v>578.9361054545999</v>
      </c>
    </row>
    <row r="140" spans="2:13" ht="15.75" customHeight="1" x14ac:dyDescent="0.25">
      <c r="B140" s="27" t="s">
        <v>27</v>
      </c>
      <c r="C140" s="27"/>
      <c r="D140" s="27"/>
      <c r="E140" s="92"/>
      <c r="F140" s="29">
        <f>SUM(F137:F139)</f>
        <v>-244.68962494879997</v>
      </c>
      <c r="G140" s="29">
        <f>SUM(G137:G139)</f>
        <v>62.513999999999101</v>
      </c>
      <c r="H140" s="15"/>
      <c r="I140" s="29">
        <f>SUM(I137:I139)</f>
        <v>-538.70525871050654</v>
      </c>
      <c r="J140" s="29">
        <f>SUM(J137:J139)</f>
        <v>-56.974000000001112</v>
      </c>
      <c r="K140" s="12"/>
      <c r="L140" s="29">
        <f>SUM(L137:L139)</f>
        <v>-934.05491390543978</v>
      </c>
      <c r="M140" s="29">
        <f>SUM(M137:M139)</f>
        <v>964.01793439887399</v>
      </c>
    </row>
    <row r="141" spans="2:13" x14ac:dyDescent="0.25">
      <c r="E141" s="11"/>
      <c r="F141" s="32"/>
      <c r="G141" s="1"/>
      <c r="H141" s="15"/>
      <c r="I141" s="32"/>
      <c r="J141" s="32"/>
      <c r="K141" s="15"/>
      <c r="L141" s="32"/>
      <c r="M141" s="32"/>
    </row>
    <row r="142" spans="2:13" ht="15.75" customHeight="1" x14ac:dyDescent="0.25">
      <c r="E142" s="11"/>
      <c r="F142" s="32"/>
      <c r="G142" s="1"/>
      <c r="H142" s="15"/>
      <c r="I142" s="32"/>
      <c r="J142" s="32"/>
      <c r="K142" s="15"/>
      <c r="L142" s="32"/>
      <c r="M142" s="32"/>
    </row>
    <row r="143" spans="2:13" ht="15.75" customHeight="1" x14ac:dyDescent="0.25">
      <c r="B143" s="7" t="s">
        <v>82</v>
      </c>
      <c r="E143" s="35"/>
      <c r="F143" s="32"/>
      <c r="G143" s="1"/>
      <c r="H143" s="15"/>
      <c r="I143" s="32"/>
      <c r="J143" s="32"/>
      <c r="K143" s="15"/>
      <c r="L143" s="32"/>
      <c r="M143" s="32"/>
    </row>
    <row r="144" spans="2:13" ht="15.75" customHeight="1" x14ac:dyDescent="0.25">
      <c r="E144" s="11"/>
      <c r="F144" s="32"/>
      <c r="G144" s="1"/>
      <c r="H144" s="15"/>
      <c r="I144" s="32"/>
      <c r="J144" s="32"/>
      <c r="K144" s="15"/>
      <c r="L144" s="32"/>
      <c r="M144" s="32"/>
    </row>
    <row r="145" spans="2:16" ht="15.75" customHeight="1" x14ac:dyDescent="0.25">
      <c r="B145" s="5" t="s">
        <v>83</v>
      </c>
      <c r="E145" s="11"/>
      <c r="F145" s="1">
        <f>+F140</f>
        <v>-244.68962494879997</v>
      </c>
      <c r="G145" s="1">
        <f>+G140</f>
        <v>62.513999999999101</v>
      </c>
      <c r="H145" s="15"/>
      <c r="I145" s="1">
        <f>+I140</f>
        <v>-538.70525871050654</v>
      </c>
      <c r="J145" s="1">
        <f>+J140</f>
        <v>-56.974000000001112</v>
      </c>
      <c r="K145" s="15"/>
      <c r="L145" s="1">
        <f>+L140</f>
        <v>-934.05491390543978</v>
      </c>
      <c r="M145" s="1">
        <f>+M140</f>
        <v>964.01793439887399</v>
      </c>
    </row>
    <row r="146" spans="2:16" ht="15.75" customHeight="1" x14ac:dyDescent="0.25">
      <c r="B146" s="36"/>
      <c r="E146" s="11"/>
      <c r="F146" s="32"/>
      <c r="G146" s="1"/>
      <c r="H146" s="15"/>
      <c r="I146" s="32"/>
      <c r="J146" s="32"/>
      <c r="K146" s="15"/>
      <c r="L146" s="32"/>
      <c r="M146" s="32"/>
    </row>
    <row r="147" spans="2:16" ht="15.75" customHeight="1" x14ac:dyDescent="0.25">
      <c r="B147" s="36" t="s">
        <v>84</v>
      </c>
      <c r="E147" s="11"/>
      <c r="F147" s="32"/>
      <c r="G147" s="32"/>
      <c r="H147" s="15"/>
      <c r="I147" s="32"/>
      <c r="J147" s="32"/>
      <c r="K147" s="15"/>
      <c r="L147" s="32"/>
      <c r="M147" s="32"/>
    </row>
    <row r="148" spans="2:16" ht="15.75" customHeight="1" x14ac:dyDescent="0.25">
      <c r="B148" s="5" t="s">
        <v>85</v>
      </c>
      <c r="E148" s="20"/>
      <c r="F148" s="1">
        <f>+'Nynas Group_Quarterly overview'!S146</f>
        <v>-56.287000000000006</v>
      </c>
      <c r="G148" s="1">
        <f>+'Nynas Group_Quarterly overview'!T146</f>
        <v>13.724</v>
      </c>
      <c r="H148" s="15"/>
      <c r="I148" s="1">
        <f>+'Nynas Group_Quarterly overview'!Y146</f>
        <v>-3.017000000000003</v>
      </c>
      <c r="J148" s="1">
        <f>+'Nynas Group_Quarterly overview'!Z146</f>
        <v>-6.4059999999999988</v>
      </c>
      <c r="K148" s="15"/>
      <c r="L148" s="1">
        <f>+'Nynas Group_Quarterly overview'!V146</f>
        <v>-32.32800000000001</v>
      </c>
      <c r="M148" s="1">
        <f>+'Nynas Group_Quarterly overview'!W146</f>
        <v>11.693000000000001</v>
      </c>
    </row>
    <row r="149" spans="2:16" ht="15.75" customHeight="1" x14ac:dyDescent="0.25">
      <c r="B149" s="5" t="s">
        <v>86</v>
      </c>
      <c r="E149" s="20">
        <v>28</v>
      </c>
      <c r="F149" s="1">
        <f>+'Nynas Group_Quarterly overview'!S147</f>
        <v>-25.673999999999999</v>
      </c>
      <c r="G149" s="1">
        <f>+'Nynas Group_Quarterly overview'!T147</f>
        <v>-6.3160000000000096</v>
      </c>
      <c r="H149" s="15"/>
      <c r="I149" s="1">
        <f>+'Nynas Group_Quarterly overview'!Y147</f>
        <v>-29.027000000000001</v>
      </c>
      <c r="J149" s="1">
        <f>+'Nynas Group_Quarterly overview'!Z147</f>
        <v>62.863999999999997</v>
      </c>
      <c r="K149" s="15"/>
      <c r="L149" s="1">
        <f>+'Nynas Group_Quarterly overview'!V147</f>
        <v>-26.948</v>
      </c>
      <c r="M149" s="1">
        <f>+'Nynas Group_Quarterly overview'!W147</f>
        <v>8.4599999999999937</v>
      </c>
    </row>
    <row r="150" spans="2:16" ht="15.75" customHeight="1" x14ac:dyDescent="0.25">
      <c r="B150" s="5" t="s">
        <v>87</v>
      </c>
      <c r="F150" s="1">
        <f>SUMIF('Nynas Group_Quarterly overview'!$B$122:$B$157,$B150,'Nynas Group_Quarterly overview'!S$122:S$157)</f>
        <v>0</v>
      </c>
      <c r="G150" s="1">
        <f>SUMIF('Nynas Group_Quarterly overview'!$B$122:$B$157,$B150,'Nynas Group_Quarterly overview'!T$122:T$157)</f>
        <v>0</v>
      </c>
      <c r="H150" s="91"/>
      <c r="I150" s="1">
        <f>SUMIF('Nynas Group_Quarterly overview'!$B$122:$B$157,$B150,'Nynas Group_Quarterly overview'!V$122:V$157)</f>
        <v>0</v>
      </c>
      <c r="J150" s="1">
        <f>SUMIF('Nynas Group_Quarterly overview'!$B$122:$B$157,$B150,'Nynas Group_Quarterly overview'!W$122:W$157)</f>
        <v>0</v>
      </c>
      <c r="K150" s="15"/>
      <c r="L150" s="1">
        <f>SUMIF('Nynas Group_Quarterly overview'!$B$122:$B$157,$B150,'Nynas Group_Quarterly overview'!AB$122:AB$157)</f>
        <v>0</v>
      </c>
      <c r="M150" s="1">
        <f>SUMIF('Nynas Group_Quarterly overview'!$B$122:$B$157,$B150,'Nynas Group_Quarterly overview'!AC$122:AC$157)</f>
        <v>0</v>
      </c>
    </row>
    <row r="151" spans="2:16" s="36" customFormat="1" ht="15.75" customHeight="1" x14ac:dyDescent="0.25">
      <c r="B151" s="37" t="s">
        <v>88</v>
      </c>
      <c r="C151" s="38"/>
      <c r="D151" s="38"/>
      <c r="E151" s="38"/>
      <c r="F151" s="29">
        <f>SUM(F148:F150)</f>
        <v>-81.961000000000013</v>
      </c>
      <c r="G151" s="29">
        <f>SUM(G148:G150)</f>
        <v>7.4079999999999906</v>
      </c>
      <c r="H151" s="91"/>
      <c r="I151" s="29">
        <f>SUM(I148:I150)</f>
        <v>-32.044000000000004</v>
      </c>
      <c r="J151" s="29">
        <f>SUM(J148:J150)</f>
        <v>56.457999999999998</v>
      </c>
      <c r="K151" s="91"/>
      <c r="L151" s="29">
        <f>SUM(L148:L150)</f>
        <v>-59.27600000000001</v>
      </c>
      <c r="M151" s="29">
        <f>SUM(M148:M150)</f>
        <v>20.152999999999995</v>
      </c>
      <c r="N151" s="5"/>
      <c r="O151" s="5"/>
      <c r="P151" s="5"/>
    </row>
    <row r="152" spans="2:16" s="36" customFormat="1" ht="15.75" customHeight="1" x14ac:dyDescent="0.25">
      <c r="F152" s="32"/>
      <c r="G152" s="32"/>
      <c r="H152" s="91"/>
      <c r="I152" s="32"/>
      <c r="J152" s="32"/>
      <c r="K152" s="91"/>
      <c r="L152" s="32"/>
      <c r="M152" s="32"/>
      <c r="N152" s="5"/>
      <c r="O152" s="5"/>
      <c r="P152" s="5"/>
    </row>
    <row r="153" spans="2:16" ht="15.75" customHeight="1" x14ac:dyDescent="0.25">
      <c r="B153" s="36" t="s">
        <v>89</v>
      </c>
      <c r="F153" s="32"/>
      <c r="G153" s="32"/>
      <c r="H153" s="15"/>
      <c r="I153" s="32"/>
      <c r="J153" s="32"/>
      <c r="K153" s="15"/>
      <c r="L153" s="32"/>
      <c r="M153" s="32"/>
    </row>
    <row r="154" spans="2:16" ht="15.75" customHeight="1" x14ac:dyDescent="0.25">
      <c r="B154" s="5" t="s">
        <v>90</v>
      </c>
      <c r="F154" s="1">
        <f>+'Nynas Group_Quarterly overview'!S151</f>
        <v>0</v>
      </c>
      <c r="G154" s="1">
        <f>+'Nynas Group_Quarterly overview'!T151</f>
        <v>0</v>
      </c>
      <c r="H154" s="15"/>
      <c r="I154" s="1">
        <f>+'Nynas Group_Quarterly overview'!Y151</f>
        <v>0</v>
      </c>
      <c r="J154" s="1">
        <f>+'Nynas Group_Quarterly overview'!Z151</f>
        <v>0</v>
      </c>
      <c r="K154" s="15"/>
      <c r="L154" s="1">
        <f>+'Nynas Group_Quarterly overview'!V151</f>
        <v>-16.872999999999998</v>
      </c>
      <c r="M154" s="1">
        <f>+'Nynas Group_Quarterly overview'!W151</f>
        <v>-148.4</v>
      </c>
    </row>
    <row r="155" spans="2:16" ht="15.75" customHeight="1" x14ac:dyDescent="0.25">
      <c r="B155" s="5" t="s">
        <v>91</v>
      </c>
      <c r="F155" s="1">
        <f>+'Nynas Group_Quarterly overview'!S152</f>
        <v>0</v>
      </c>
      <c r="G155" s="1">
        <f>+'Nynas Group_Quarterly overview'!T152</f>
        <v>0</v>
      </c>
      <c r="H155" s="15"/>
      <c r="I155" s="1">
        <f>+'Nynas Group_Quarterly overview'!Y152</f>
        <v>0</v>
      </c>
      <c r="J155" s="1">
        <f>+'Nynas Group_Quarterly overview'!Z152</f>
        <v>0</v>
      </c>
      <c r="K155" s="15"/>
      <c r="L155" s="1">
        <f>+'Nynas Group_Quarterly overview'!V152</f>
        <v>9.0909999999999993</v>
      </c>
      <c r="M155" s="1">
        <f>+'Nynas Group_Quarterly overview'!W152</f>
        <v>11.4</v>
      </c>
    </row>
    <row r="156" spans="2:16" ht="15.75" customHeight="1" x14ac:dyDescent="0.25">
      <c r="B156" s="5" t="s">
        <v>92</v>
      </c>
      <c r="F156" s="1">
        <f>+'Nynas Group_Quarterly overview'!S153</f>
        <v>2.4780000000000002</v>
      </c>
      <c r="G156" s="1">
        <f>+'Nynas Group_Quarterly overview'!T153</f>
        <v>9.4570000000000007</v>
      </c>
      <c r="H156" s="15"/>
      <c r="I156" s="1">
        <f>+'Nynas Group_Quarterly overview'!Y153</f>
        <v>2.4780000000000002</v>
      </c>
      <c r="J156" s="1">
        <f>+'Nynas Group_Quarterly overview'!Z153</f>
        <v>9.4570000000000007</v>
      </c>
      <c r="K156" s="15"/>
      <c r="L156" s="1">
        <f>+'Nynas Group_Quarterly overview'!V153</f>
        <v>16.399999999999999</v>
      </c>
      <c r="M156" s="1">
        <f>+'Nynas Group_Quarterly overview'!W153</f>
        <v>16.133000000000003</v>
      </c>
    </row>
    <row r="157" spans="2:16" s="36" customFormat="1" ht="15.75" customHeight="1" x14ac:dyDescent="0.25">
      <c r="B157" s="37" t="s">
        <v>93</v>
      </c>
      <c r="C157" s="38"/>
      <c r="D157" s="38"/>
      <c r="E157" s="38"/>
      <c r="F157" s="29">
        <f>SUM(F154:F156)</f>
        <v>2.4780000000000002</v>
      </c>
      <c r="G157" s="29">
        <f>SUM(G154:G156)</f>
        <v>9.4570000000000007</v>
      </c>
      <c r="H157" s="91"/>
      <c r="I157" s="29">
        <f>SUM(I154:I156)</f>
        <v>2.4780000000000002</v>
      </c>
      <c r="J157" s="29">
        <f>SUM(J154:J156)</f>
        <v>9.4570000000000007</v>
      </c>
      <c r="K157" s="15"/>
      <c r="L157" s="29">
        <f>SUM(L154:L156)</f>
        <v>8.6180000000000003</v>
      </c>
      <c r="M157" s="29">
        <f>SUM(M154:M156)</f>
        <v>-120.86699999999999</v>
      </c>
      <c r="N157" s="5"/>
      <c r="O157" s="5"/>
      <c r="P157" s="5"/>
    </row>
    <row r="158" spans="2:16" ht="15.75" customHeight="1" x14ac:dyDescent="0.25">
      <c r="F158" s="32"/>
      <c r="G158" s="32"/>
      <c r="H158" s="15"/>
      <c r="I158" s="32"/>
      <c r="J158" s="32"/>
      <c r="K158" s="15"/>
      <c r="L158" s="32"/>
      <c r="M158" s="32"/>
    </row>
    <row r="159" spans="2:16" ht="15.75" customHeight="1" x14ac:dyDescent="0.25">
      <c r="B159" s="5" t="s">
        <v>94</v>
      </c>
      <c r="F159" s="32">
        <f>+F151+F157</f>
        <v>-79.483000000000018</v>
      </c>
      <c r="G159" s="32">
        <f>+G151+G157</f>
        <v>16.864999999999991</v>
      </c>
      <c r="H159" s="15"/>
      <c r="I159" s="32">
        <f>+I151+I157</f>
        <v>-29.566000000000003</v>
      </c>
      <c r="J159" s="32">
        <f>+J151+J157</f>
        <v>65.914999999999992</v>
      </c>
      <c r="K159" s="15"/>
      <c r="L159" s="32">
        <f>+L151+L157</f>
        <v>-50.658000000000008</v>
      </c>
      <c r="M159" s="32">
        <f>+M151+M157</f>
        <v>-100.714</v>
      </c>
    </row>
    <row r="160" spans="2:16" ht="15.75" customHeight="1" x14ac:dyDescent="0.25">
      <c r="B160" s="36"/>
      <c r="F160" s="1"/>
      <c r="G160" s="32"/>
      <c r="H160" s="15"/>
      <c r="I160" s="1"/>
      <c r="J160" s="1"/>
      <c r="K160" s="15"/>
      <c r="L160" s="1"/>
      <c r="M160" s="1"/>
    </row>
    <row r="161" spans="2:13" ht="15.75" customHeight="1" x14ac:dyDescent="0.25">
      <c r="B161" s="17" t="s">
        <v>95</v>
      </c>
      <c r="C161" s="39"/>
      <c r="D161" s="17"/>
      <c r="E161" s="17"/>
      <c r="F161" s="29">
        <f>+F145+F159</f>
        <v>-324.17262494879998</v>
      </c>
      <c r="G161" s="29">
        <f>+G145+G159</f>
        <v>79.378999999999095</v>
      </c>
      <c r="H161" s="15"/>
      <c r="I161" s="29">
        <f>+I145+I159</f>
        <v>-568.27125871050657</v>
      </c>
      <c r="J161" s="29">
        <f>+J145+J159</f>
        <v>8.9409999999988798</v>
      </c>
      <c r="K161" s="15"/>
      <c r="L161" s="29">
        <f>+L145+L159</f>
        <v>-984.71291390543979</v>
      </c>
      <c r="M161" s="29">
        <f>+M145+M159</f>
        <v>863.30393439887393</v>
      </c>
    </row>
    <row r="162" spans="2:13" ht="15.75" customHeight="1" x14ac:dyDescent="0.25">
      <c r="B162" s="7"/>
      <c r="C162" s="40"/>
      <c r="F162" s="41"/>
      <c r="G162" s="41"/>
      <c r="H162" s="2"/>
      <c r="I162" s="41"/>
      <c r="J162" s="41"/>
      <c r="K162" s="2"/>
      <c r="L162" s="41"/>
    </row>
    <row r="163" spans="2:13" ht="15.75" customHeight="1" x14ac:dyDescent="0.25">
      <c r="B163" s="7"/>
      <c r="C163" s="40"/>
      <c r="F163" s="7"/>
      <c r="G163" s="7"/>
      <c r="I163" s="41"/>
      <c r="J163" s="2"/>
    </row>
    <row r="164" spans="2:13" ht="15.75" customHeight="1" x14ac:dyDescent="0.25">
      <c r="F164" s="7"/>
      <c r="G164" s="7"/>
    </row>
    <row r="165" spans="2:13" ht="15.75" customHeight="1" x14ac:dyDescent="0.25">
      <c r="F165" s="7"/>
      <c r="G165" s="7"/>
    </row>
    <row r="166" spans="2:13" ht="23.25" customHeight="1" thickBot="1" x14ac:dyDescent="0.45">
      <c r="B166" s="21" t="s">
        <v>96</v>
      </c>
      <c r="C166" s="22"/>
      <c r="D166" s="23"/>
      <c r="E166" s="23"/>
      <c r="F166" s="23"/>
      <c r="G166" s="23"/>
      <c r="H166" s="23"/>
      <c r="I166" s="23"/>
      <c r="J166" s="24"/>
    </row>
    <row r="167" spans="2:13" ht="23.25" customHeight="1" x14ac:dyDescent="0.4">
      <c r="B167" s="3"/>
    </row>
    <row r="168" spans="2:13" ht="6" customHeight="1" x14ac:dyDescent="0.25">
      <c r="B168" s="7"/>
      <c r="H168" s="7"/>
    </row>
    <row r="169" spans="2:13" ht="15.75" customHeight="1" x14ac:dyDescent="0.25">
      <c r="E169" s="43" t="s">
        <v>68</v>
      </c>
      <c r="F169" s="207"/>
      <c r="G169" s="208"/>
      <c r="H169" s="44"/>
    </row>
    <row r="170" spans="2:13" ht="15.75" customHeight="1" x14ac:dyDescent="0.25">
      <c r="E170" s="11"/>
      <c r="F170" s="7"/>
      <c r="G170" s="7"/>
    </row>
    <row r="171" spans="2:13" ht="15.75" customHeight="1" x14ac:dyDescent="0.25">
      <c r="B171" s="7" t="s">
        <v>97</v>
      </c>
      <c r="E171" s="11"/>
      <c r="F171" s="19" t="str">
        <f>+$F$45</f>
        <v>30 Jun 2025</v>
      </c>
      <c r="G171" s="19" t="str">
        <f>+$G$45</f>
        <v>30 Jun 2024</v>
      </c>
      <c r="I171" s="19" t="str">
        <f>+$I$45</f>
        <v>31 Dec 2024</v>
      </c>
      <c r="L171" s="19"/>
    </row>
    <row r="172" spans="2:13" ht="15.75" customHeight="1" x14ac:dyDescent="0.25">
      <c r="E172" s="11"/>
    </row>
    <row r="173" spans="2:13" ht="15.75" customHeight="1" x14ac:dyDescent="0.25">
      <c r="B173" s="5" t="s">
        <v>98</v>
      </c>
      <c r="E173" s="11"/>
    </row>
    <row r="174" spans="2:13" ht="15.75" customHeight="1" x14ac:dyDescent="0.25">
      <c r="E174" s="11"/>
    </row>
    <row r="175" spans="2:13" ht="15.75" customHeight="1" x14ac:dyDescent="0.25">
      <c r="B175" s="5" t="s">
        <v>99</v>
      </c>
      <c r="C175" s="45"/>
      <c r="D175" s="45"/>
      <c r="E175" s="46"/>
    </row>
    <row r="176" spans="2:13" ht="15.75" customHeight="1" x14ac:dyDescent="0.25">
      <c r="B176" s="5" t="s">
        <v>100</v>
      </c>
      <c r="E176" s="20">
        <v>12</v>
      </c>
      <c r="F176" s="2">
        <f>+'Nynas Group_Quarterly overview'!Y169</f>
        <v>26.4</v>
      </c>
      <c r="G176" s="2">
        <f>+'Nynas Group_Quarterly overview'!Z169</f>
        <v>45.146000000000001</v>
      </c>
      <c r="H176" s="45"/>
      <c r="I176" s="2">
        <f>+'Nynas Group_Quarterly overview'!AB169</f>
        <v>35.5</v>
      </c>
      <c r="L176" s="2"/>
    </row>
    <row r="177" spans="2:12" ht="15.75" customHeight="1" x14ac:dyDescent="0.25">
      <c r="B177" s="27" t="s">
        <v>101</v>
      </c>
      <c r="C177" s="27"/>
      <c r="D177" s="27"/>
      <c r="E177" s="47"/>
      <c r="F177" s="48">
        <f>SUM(F176:F176)</f>
        <v>26.4</v>
      </c>
      <c r="G177" s="48">
        <f>SUM(G176:G176)</f>
        <v>45.146000000000001</v>
      </c>
      <c r="H177" s="7"/>
      <c r="I177" s="48">
        <f>SUM(I176:I176)</f>
        <v>35.5</v>
      </c>
      <c r="J177" s="7"/>
      <c r="K177" s="7"/>
      <c r="L177" s="41"/>
    </row>
    <row r="178" spans="2:12" ht="15.75" customHeight="1" x14ac:dyDescent="0.25">
      <c r="E178" s="6"/>
      <c r="F178" s="2"/>
      <c r="G178" s="2"/>
      <c r="I178" s="2"/>
      <c r="L178" s="2"/>
    </row>
    <row r="179" spans="2:12" ht="15.75" customHeight="1" x14ac:dyDescent="0.25">
      <c r="B179" s="5" t="s">
        <v>102</v>
      </c>
      <c r="C179" s="45"/>
      <c r="D179" s="45"/>
      <c r="E179" s="6"/>
      <c r="F179" s="2"/>
      <c r="G179" s="2"/>
      <c r="I179" s="2"/>
      <c r="L179" s="2"/>
    </row>
    <row r="180" spans="2:12" ht="15.75" customHeight="1" x14ac:dyDescent="0.25">
      <c r="B180" s="5" t="s">
        <v>103</v>
      </c>
      <c r="E180" s="20">
        <v>13</v>
      </c>
      <c r="F180" s="2">
        <f>+'Nynas Group_Quarterly overview'!Y173</f>
        <v>1446.2</v>
      </c>
      <c r="G180" s="2">
        <f>+'Nynas Group_Quarterly overview'!Z173</f>
        <v>1464.8420000000001</v>
      </c>
      <c r="H180" s="45"/>
      <c r="I180" s="2">
        <f>+'Nynas Group_Quarterly overview'!AB173</f>
        <v>1458</v>
      </c>
      <c r="L180" s="2"/>
    </row>
    <row r="181" spans="2:12" ht="15.75" customHeight="1" x14ac:dyDescent="0.25">
      <c r="B181" s="5" t="s">
        <v>104</v>
      </c>
      <c r="E181" s="20">
        <v>13</v>
      </c>
      <c r="F181" s="2">
        <f>+'Nynas Group_Quarterly overview'!Y174</f>
        <v>1402.3</v>
      </c>
      <c r="G181" s="2">
        <f>+'Nynas Group_Quarterly overview'!Z174</f>
        <v>1444.616</v>
      </c>
      <c r="H181" s="45"/>
      <c r="I181" s="2">
        <f>+'Nynas Group_Quarterly overview'!AB174</f>
        <v>1489.9</v>
      </c>
      <c r="L181" s="2"/>
    </row>
    <row r="182" spans="2:12" ht="15.75" customHeight="1" x14ac:dyDescent="0.25">
      <c r="B182" s="5" t="s">
        <v>105</v>
      </c>
      <c r="E182" s="20">
        <v>13</v>
      </c>
      <c r="F182" s="2">
        <f>+'Nynas Group_Quarterly overview'!Y175</f>
        <v>64.599999999999994</v>
      </c>
      <c r="G182" s="2">
        <f>+'Nynas Group_Quarterly overview'!Z175</f>
        <v>60.051000000000002</v>
      </c>
      <c r="H182" s="45"/>
      <c r="I182" s="2">
        <f>+'Nynas Group_Quarterly overview'!AB175</f>
        <v>73.5</v>
      </c>
      <c r="L182" s="2"/>
    </row>
    <row r="183" spans="2:12" ht="15.75" customHeight="1" x14ac:dyDescent="0.25">
      <c r="B183" s="5" t="s">
        <v>106</v>
      </c>
      <c r="E183" s="20">
        <v>13</v>
      </c>
      <c r="F183" s="2">
        <f>+'Nynas Group_Quarterly overview'!Y176</f>
        <v>350.5</v>
      </c>
      <c r="G183" s="2">
        <f>+'Nynas Group_Quarterly overview'!Z176</f>
        <v>337.673</v>
      </c>
      <c r="H183" s="45"/>
      <c r="I183" s="2">
        <f>+'Nynas Group_Quarterly overview'!AB176</f>
        <v>295.3</v>
      </c>
      <c r="L183" s="2"/>
    </row>
    <row r="184" spans="2:12" ht="15.75" customHeight="1" x14ac:dyDescent="0.25">
      <c r="B184" s="27" t="s">
        <v>107</v>
      </c>
      <c r="C184" s="27"/>
      <c r="D184" s="27"/>
      <c r="E184" s="47"/>
      <c r="F184" s="48">
        <f>SUM(F180:F183)</f>
        <v>3263.6</v>
      </c>
      <c r="G184" s="48">
        <f>SUM(G180:G183)</f>
        <v>3307.1819999999998</v>
      </c>
      <c r="H184" s="7"/>
      <c r="I184" s="48">
        <f>SUM(I180:I183)</f>
        <v>3316.7000000000003</v>
      </c>
      <c r="J184" s="7"/>
      <c r="K184" s="7"/>
      <c r="L184" s="41"/>
    </row>
    <row r="185" spans="2:12" ht="15.75" customHeight="1" x14ac:dyDescent="0.25">
      <c r="E185" s="6"/>
      <c r="F185" s="2"/>
      <c r="G185" s="2"/>
      <c r="I185" s="2"/>
      <c r="L185" s="2"/>
    </row>
    <row r="186" spans="2:12" ht="15.75" customHeight="1" x14ac:dyDescent="0.25">
      <c r="B186" s="5" t="s">
        <v>108</v>
      </c>
      <c r="E186" s="93" t="s">
        <v>109</v>
      </c>
      <c r="F186" s="2">
        <f>+'Nynas Group_Quarterly overview'!Y179</f>
        <v>512.4</v>
      </c>
      <c r="G186" s="2">
        <f>+'Nynas Group_Quarterly overview'!Z179</f>
        <v>513.09400000000005</v>
      </c>
      <c r="H186" s="45"/>
      <c r="I186" s="2">
        <f>+'Nynas Group_Quarterly overview'!AB179</f>
        <v>511.4</v>
      </c>
      <c r="L186" s="2"/>
    </row>
    <row r="187" spans="2:12" ht="15.75" customHeight="1" x14ac:dyDescent="0.25">
      <c r="E187" s="6"/>
      <c r="F187" s="2"/>
      <c r="G187" s="2"/>
      <c r="I187" s="2"/>
      <c r="L187" s="2"/>
    </row>
    <row r="188" spans="2:12" ht="15.75" customHeight="1" x14ac:dyDescent="0.25">
      <c r="B188" s="5" t="s">
        <v>110</v>
      </c>
      <c r="C188" s="45"/>
      <c r="D188" s="45"/>
      <c r="E188" s="6"/>
      <c r="F188" s="2"/>
      <c r="G188" s="2"/>
      <c r="I188" s="2"/>
      <c r="L188" s="2"/>
    </row>
    <row r="189" spans="2:12" ht="15.75" customHeight="1" x14ac:dyDescent="0.25">
      <c r="B189" s="5" t="s">
        <v>111</v>
      </c>
      <c r="E189" s="20">
        <v>15</v>
      </c>
      <c r="F189" s="2">
        <f>+'Nynas Group_Quarterly overview'!Y182</f>
        <v>225.3</v>
      </c>
      <c r="G189" s="2">
        <f>+'Nynas Group_Quarterly overview'!Z182</f>
        <v>217.596</v>
      </c>
      <c r="H189" s="45"/>
      <c r="I189" s="2">
        <f>+'Nynas Group_Quarterly overview'!AB182</f>
        <v>224.8</v>
      </c>
      <c r="L189" s="2"/>
    </row>
    <row r="190" spans="2:12" ht="15.75" customHeight="1" x14ac:dyDescent="0.25">
      <c r="B190" s="5" t="s">
        <v>112</v>
      </c>
      <c r="E190" s="20">
        <v>16</v>
      </c>
      <c r="F190" s="2">
        <f>+'Nynas Group_Quarterly overview'!Y183</f>
        <v>16.7</v>
      </c>
      <c r="G190" s="2">
        <f>+'Nynas Group_Quarterly overview'!Z183</f>
        <v>13.965</v>
      </c>
      <c r="H190" s="45"/>
      <c r="I190" s="2">
        <f>+'Nynas Group_Quarterly overview'!AB183</f>
        <v>16.2</v>
      </c>
      <c r="L190" s="2"/>
    </row>
    <row r="191" spans="2:12" ht="15.75" customHeight="1" x14ac:dyDescent="0.25">
      <c r="B191" s="5" t="s">
        <v>113</v>
      </c>
      <c r="E191" s="20">
        <v>10</v>
      </c>
      <c r="F191" s="2">
        <f>+'Nynas Group_Quarterly overview'!Y184</f>
        <v>656.9</v>
      </c>
      <c r="G191" s="2">
        <f>+'Nynas Group_Quarterly overview'!Z184</f>
        <v>710.77499999999998</v>
      </c>
      <c r="H191" s="45"/>
      <c r="I191" s="2">
        <f>+'Nynas Group_Quarterly overview'!AB184</f>
        <v>738.8</v>
      </c>
      <c r="L191" s="2"/>
    </row>
    <row r="192" spans="2:12" ht="15.75" customHeight="1" x14ac:dyDescent="0.25">
      <c r="B192" s="27" t="s">
        <v>114</v>
      </c>
      <c r="C192" s="27"/>
      <c r="D192" s="27"/>
      <c r="E192" s="47"/>
      <c r="F192" s="48">
        <f>SUM(F189:F191)</f>
        <v>898.9</v>
      </c>
      <c r="G192" s="48">
        <f>SUM(G189:G191)</f>
        <v>942.33600000000001</v>
      </c>
      <c r="H192" s="7"/>
      <c r="I192" s="48">
        <f>SUM(I189:I191)</f>
        <v>979.8</v>
      </c>
      <c r="J192" s="7"/>
      <c r="K192" s="7"/>
      <c r="L192" s="41"/>
    </row>
    <row r="193" spans="2:12" ht="15.75" customHeight="1" x14ac:dyDescent="0.25">
      <c r="E193" s="6"/>
      <c r="F193" s="2"/>
      <c r="G193" s="2"/>
      <c r="I193" s="2"/>
      <c r="L193" s="2"/>
    </row>
    <row r="194" spans="2:12" ht="15.75" customHeight="1" x14ac:dyDescent="0.25">
      <c r="B194" s="27" t="s">
        <v>115</v>
      </c>
      <c r="C194" s="27"/>
      <c r="D194" s="27"/>
      <c r="E194" s="47"/>
      <c r="F194" s="48">
        <f>+F177+F184+F186+F192</f>
        <v>4701.3</v>
      </c>
      <c r="G194" s="48">
        <f>+G177+G184+G186+G192</f>
        <v>4807.7579999999998</v>
      </c>
      <c r="H194" s="7"/>
      <c r="I194" s="48">
        <f>+I177+I184+I186+I192</f>
        <v>4843.4000000000005</v>
      </c>
      <c r="J194" s="7"/>
      <c r="K194" s="7"/>
      <c r="L194" s="41"/>
    </row>
    <row r="195" spans="2:12" ht="15.75" customHeight="1" x14ac:dyDescent="0.25">
      <c r="E195" s="6"/>
      <c r="F195" s="2"/>
      <c r="G195" s="2"/>
      <c r="I195" s="2"/>
      <c r="L195" s="2"/>
    </row>
    <row r="196" spans="2:12" ht="15.75" customHeight="1" x14ac:dyDescent="0.25">
      <c r="B196" s="5" t="s">
        <v>116</v>
      </c>
      <c r="E196" s="6"/>
      <c r="F196" s="2"/>
      <c r="G196" s="2"/>
      <c r="I196" s="2"/>
      <c r="L196" s="2"/>
    </row>
    <row r="197" spans="2:12" ht="15.75" customHeight="1" x14ac:dyDescent="0.25">
      <c r="B197" s="5" t="s">
        <v>33</v>
      </c>
      <c r="E197" s="20">
        <v>17</v>
      </c>
      <c r="F197" s="2">
        <f>+'Nynas Group_Quarterly overview'!Y190</f>
        <v>1893.5</v>
      </c>
      <c r="G197" s="2">
        <f>+'Nynas Group_Quarterly overview'!Z190</f>
        <v>2568.136</v>
      </c>
      <c r="H197" s="45"/>
      <c r="I197" s="2">
        <f>+'Nynas Group_Quarterly overview'!AB190</f>
        <v>1772.5</v>
      </c>
      <c r="L197" s="2"/>
    </row>
    <row r="198" spans="2:12" ht="15.75" customHeight="1" x14ac:dyDescent="0.25">
      <c r="B198" s="5" t="s">
        <v>117</v>
      </c>
      <c r="E198" s="20" t="s">
        <v>118</v>
      </c>
      <c r="F198" s="2">
        <f>+'Nynas Group_Quarterly overview'!Y191</f>
        <v>1903.5</v>
      </c>
      <c r="G198" s="2">
        <f>+'Nynas Group_Quarterly overview'!Z191</f>
        <v>1955.44</v>
      </c>
      <c r="H198" s="45"/>
      <c r="I198" s="2">
        <f>+'Nynas Group_Quarterly overview'!AB191</f>
        <v>1287</v>
      </c>
      <c r="L198" s="2"/>
    </row>
    <row r="199" spans="2:12" ht="15.75" customHeight="1" x14ac:dyDescent="0.25">
      <c r="B199" s="5" t="s">
        <v>119</v>
      </c>
      <c r="E199" s="20">
        <v>30</v>
      </c>
      <c r="F199" s="2">
        <f>+'Nynas Group_Quarterly overview'!Y192</f>
        <v>0.3</v>
      </c>
      <c r="G199" s="2">
        <f>+'Nynas Group_Quarterly overview'!Z192</f>
        <v>0</v>
      </c>
      <c r="H199" s="45"/>
      <c r="I199" s="2">
        <f>+'Nynas Group_Quarterly overview'!AB192</f>
        <v>0.2</v>
      </c>
      <c r="L199" s="1"/>
    </row>
    <row r="200" spans="2:12" ht="15.75" customHeight="1" x14ac:dyDescent="0.25">
      <c r="B200" s="5" t="s">
        <v>120</v>
      </c>
      <c r="E200" s="20" t="s">
        <v>121</v>
      </c>
      <c r="F200" s="2">
        <f>+'Nynas Group_Quarterly overview'!Y193</f>
        <v>0</v>
      </c>
      <c r="G200" s="2">
        <f>+'Nynas Group_Quarterly overview'!Z193</f>
        <v>18.064</v>
      </c>
      <c r="H200" s="45"/>
      <c r="I200" s="2">
        <f>+'Nynas Group_Quarterly overview'!AB193</f>
        <v>17.3</v>
      </c>
      <c r="L200" s="1"/>
    </row>
    <row r="201" spans="2:12" ht="15.75" customHeight="1" x14ac:dyDescent="0.25">
      <c r="B201" s="5" t="s">
        <v>122</v>
      </c>
      <c r="E201" s="20"/>
      <c r="F201" s="2">
        <f>+'Nynas Group_Quarterly overview'!Y194</f>
        <v>14.6</v>
      </c>
      <c r="G201" s="2">
        <f>+'Nynas Group_Quarterly overview'!Z194</f>
        <v>5.9749999999999996</v>
      </c>
      <c r="H201" s="45"/>
      <c r="I201" s="2">
        <f>+'Nynas Group_Quarterly overview'!AB194</f>
        <v>14.8</v>
      </c>
      <c r="L201" s="2"/>
    </row>
    <row r="202" spans="2:12" ht="15.75" customHeight="1" x14ac:dyDescent="0.25">
      <c r="B202" s="5" t="s">
        <v>123</v>
      </c>
      <c r="E202" s="20">
        <v>26</v>
      </c>
      <c r="F202" s="2">
        <f>+'Nynas Group_Quarterly overview'!Y195</f>
        <v>367</v>
      </c>
      <c r="G202" s="2">
        <f>+'Nynas Group_Quarterly overview'!Z195</f>
        <v>1069.751</v>
      </c>
      <c r="H202" s="45"/>
      <c r="I202" s="2">
        <f>+'Nynas Group_Quarterly overview'!AB195</f>
        <v>720.4</v>
      </c>
      <c r="L202" s="2"/>
    </row>
    <row r="203" spans="2:12" ht="15.75" customHeight="1" x14ac:dyDescent="0.25">
      <c r="B203" s="5" t="s">
        <v>124</v>
      </c>
      <c r="E203" s="20" t="s">
        <v>125</v>
      </c>
      <c r="F203" s="2">
        <f>+'Nynas Group_Quarterly overview'!Y196</f>
        <v>236.29999999999998</v>
      </c>
      <c r="G203" s="2">
        <f>+'Nynas Group_Quarterly overview'!Z196</f>
        <v>194.29900000000001</v>
      </c>
      <c r="H203" s="45"/>
      <c r="I203" s="2">
        <f>+'Nynas Group_Quarterly overview'!AB196</f>
        <v>113.8</v>
      </c>
      <c r="L203" s="49"/>
    </row>
    <row r="204" spans="2:12" ht="15.75" customHeight="1" x14ac:dyDescent="0.25">
      <c r="B204" s="5" t="s">
        <v>126</v>
      </c>
      <c r="E204" s="20" t="s">
        <v>127</v>
      </c>
      <c r="F204" s="2">
        <f>+'Nynas Group_Quarterly overview'!Y197</f>
        <v>1229.0999999999999</v>
      </c>
      <c r="G204" s="2">
        <f>+'Nynas Group_Quarterly overview'!Z197</f>
        <v>645.88800000000003</v>
      </c>
      <c r="H204" s="45"/>
      <c r="I204" s="2">
        <f>+'Nynas Group_Quarterly overview'!AB197</f>
        <v>1255</v>
      </c>
      <c r="L204" s="2"/>
    </row>
    <row r="205" spans="2:12" ht="15.75" customHeight="1" x14ac:dyDescent="0.25">
      <c r="B205" s="27" t="s">
        <v>128</v>
      </c>
      <c r="C205" s="27"/>
      <c r="D205" s="27"/>
      <c r="E205" s="27"/>
      <c r="F205" s="48">
        <f>SUM(F197:F204)</f>
        <v>5644.2999999999993</v>
      </c>
      <c r="G205" s="48">
        <f>SUM(G197:G204)</f>
        <v>6457.5530000000008</v>
      </c>
      <c r="H205" s="7"/>
      <c r="I205" s="48">
        <f>SUM(I197:I204)</f>
        <v>5181</v>
      </c>
      <c r="J205" s="7"/>
      <c r="K205" s="7"/>
      <c r="L205" s="41"/>
    </row>
    <row r="206" spans="2:12" ht="15.75" customHeight="1" x14ac:dyDescent="0.25">
      <c r="F206" s="2"/>
      <c r="G206" s="2"/>
      <c r="I206" s="2"/>
      <c r="L206" s="2"/>
    </row>
    <row r="207" spans="2:12" ht="15.75" customHeight="1" x14ac:dyDescent="0.25">
      <c r="B207" s="27" t="s">
        <v>129</v>
      </c>
      <c r="C207" s="27"/>
      <c r="D207" s="27"/>
      <c r="E207" s="27"/>
      <c r="F207" s="48">
        <f>+F194+F205</f>
        <v>10345.599999999999</v>
      </c>
      <c r="G207" s="48">
        <f>+G194+G205</f>
        <v>11265.311000000002</v>
      </c>
      <c r="H207" s="7"/>
      <c r="I207" s="48">
        <f>+I194+I205</f>
        <v>10024.400000000001</v>
      </c>
      <c r="J207" s="7"/>
      <c r="K207" s="7"/>
      <c r="L207" s="41"/>
    </row>
    <row r="208" spans="2:12" ht="15.75" customHeight="1" x14ac:dyDescent="0.25">
      <c r="F208" s="50"/>
    </row>
    <row r="209" spans="2:18" ht="23.25" customHeight="1" thickBot="1" x14ac:dyDescent="0.45">
      <c r="B209" s="21" t="str">
        <f>B166</f>
        <v>STATEMENT OF FINANCIAL POSITION</v>
      </c>
      <c r="C209" s="23"/>
      <c r="D209" s="23"/>
      <c r="E209" s="23"/>
      <c r="F209" s="23"/>
      <c r="G209" s="23"/>
    </row>
    <row r="210" spans="2:18" ht="18" customHeight="1" x14ac:dyDescent="0.4">
      <c r="B210" s="3"/>
    </row>
    <row r="211" spans="2:18" ht="9" customHeight="1" x14ac:dyDescent="0.25">
      <c r="B211" s="7"/>
      <c r="H211" s="7"/>
    </row>
    <row r="212" spans="2:18" ht="15.75" customHeight="1" x14ac:dyDescent="0.25">
      <c r="E212" s="43" t="s">
        <v>68</v>
      </c>
      <c r="F212" s="207"/>
      <c r="G212" s="208"/>
      <c r="H212" s="51"/>
    </row>
    <row r="213" spans="2:18" ht="15.75" customHeight="1" x14ac:dyDescent="0.25">
      <c r="E213" s="11"/>
      <c r="F213" s="7"/>
      <c r="G213" s="7"/>
    </row>
    <row r="214" spans="2:18" ht="15.75" customHeight="1" x14ac:dyDescent="0.25">
      <c r="B214" s="7" t="s">
        <v>42</v>
      </c>
      <c r="E214" s="11"/>
      <c r="F214" s="19" t="str">
        <f>+$F$45</f>
        <v>30 Jun 2025</v>
      </c>
      <c r="G214" s="19" t="str">
        <f>+$G$45</f>
        <v>30 Jun 2024</v>
      </c>
      <c r="I214" s="19" t="str">
        <f>+$I$45</f>
        <v>31 Dec 2024</v>
      </c>
      <c r="L214" s="19"/>
    </row>
    <row r="215" spans="2:18" ht="15.75" customHeight="1" x14ac:dyDescent="0.25">
      <c r="E215" s="11"/>
    </row>
    <row r="216" spans="2:18" ht="15.75" customHeight="1" x14ac:dyDescent="0.25">
      <c r="B216" s="5" t="s">
        <v>130</v>
      </c>
      <c r="E216" s="20">
        <v>21</v>
      </c>
    </row>
    <row r="217" spans="2:18" ht="15.75" customHeight="1" x14ac:dyDescent="0.25">
      <c r="B217" s="5" t="s">
        <v>131</v>
      </c>
      <c r="E217" s="20"/>
      <c r="F217" s="2">
        <f>+'Nynas Group_Quarterly overview'!Y210</f>
        <v>67.531999999999996</v>
      </c>
      <c r="G217" s="2">
        <f>+'Nynas Group_Quarterly overview'!Z210</f>
        <v>67.531999999999996</v>
      </c>
      <c r="H217" s="15"/>
      <c r="I217" s="2">
        <f>+'Nynas Group_Quarterly overview'!AB210</f>
        <v>67.531999999999996</v>
      </c>
      <c r="L217" s="1"/>
      <c r="Q217" s="15"/>
      <c r="R217" s="15"/>
    </row>
    <row r="218" spans="2:18" ht="15.75" customHeight="1" x14ac:dyDescent="0.25">
      <c r="B218" s="5" t="s">
        <v>132</v>
      </c>
      <c r="E218" s="6"/>
      <c r="F218" s="2">
        <f>+'Nynas Group_Quarterly overview'!Y211</f>
        <v>-332.22099999999995</v>
      </c>
      <c r="G218" s="2">
        <f>+'Nynas Group_Quarterly overview'!Z211</f>
        <v>-272.81700000000001</v>
      </c>
      <c r="H218" s="15"/>
      <c r="I218" s="2">
        <f>+'Nynas Group_Quarterly overview'!AB211</f>
        <v>-300.17699999999996</v>
      </c>
      <c r="L218" s="2"/>
    </row>
    <row r="219" spans="2:18" ht="15.75" customHeight="1" x14ac:dyDescent="0.25">
      <c r="B219" s="5" t="s">
        <v>133</v>
      </c>
      <c r="E219" s="6"/>
      <c r="F219" s="2">
        <f>+'Nynas Group_Quarterly overview'!Y212</f>
        <v>4506.4799999999996</v>
      </c>
      <c r="G219" s="2">
        <f>+'Nynas Group_Quarterly overview'!Z212</f>
        <v>2512.6999999999998</v>
      </c>
      <c r="H219" s="15"/>
      <c r="I219" s="2">
        <f>+'Nynas Group_Quarterly overview'!AB212</f>
        <v>2512.6999999999998</v>
      </c>
      <c r="L219" s="1"/>
    </row>
    <row r="220" spans="2:18" ht="15.75" customHeight="1" x14ac:dyDescent="0.25">
      <c r="B220" s="5" t="s">
        <v>134</v>
      </c>
      <c r="E220" s="6"/>
      <c r="F220" s="2">
        <f>+'Nynas Group_Quarterly overview'!Y213</f>
        <v>-1957.6822587105066</v>
      </c>
      <c r="G220" s="2">
        <f>+'Nynas Group_Quarterly overview'!Z213</f>
        <v>-1032.187999999996</v>
      </c>
      <c r="H220" s="15"/>
      <c r="I220" s="2">
        <f>+'Nynas Group_Quarterly overview'!AB213</f>
        <v>-1421.4550033755143</v>
      </c>
      <c r="L220" s="2"/>
      <c r="Q220" s="45"/>
      <c r="R220" s="45"/>
    </row>
    <row r="221" spans="2:18" ht="15.75" customHeight="1" x14ac:dyDescent="0.25">
      <c r="B221" s="27" t="s">
        <v>135</v>
      </c>
      <c r="C221" s="27"/>
      <c r="D221" s="27"/>
      <c r="E221" s="28"/>
      <c r="F221" s="48">
        <f>SUM(F217:F220)</f>
        <v>2284.1087412894926</v>
      </c>
      <c r="G221" s="48">
        <f>SUM(G217:G220)</f>
        <v>1275.227000000004</v>
      </c>
      <c r="H221" s="7"/>
      <c r="I221" s="48">
        <f>SUM(I217:I220)</f>
        <v>858.59999662448558</v>
      </c>
      <c r="J221" s="52"/>
      <c r="K221" s="7"/>
      <c r="L221" s="41"/>
    </row>
    <row r="222" spans="2:18" ht="15.75" customHeight="1" x14ac:dyDescent="0.25">
      <c r="E222" s="6"/>
      <c r="F222" s="41"/>
      <c r="G222" s="2"/>
      <c r="I222" s="2"/>
      <c r="J222" s="50"/>
      <c r="L222" s="2"/>
    </row>
    <row r="223" spans="2:18" ht="15.75" customHeight="1" x14ac:dyDescent="0.25">
      <c r="B223" s="5" t="s">
        <v>136</v>
      </c>
      <c r="E223" s="6"/>
      <c r="F223" s="2"/>
      <c r="G223" s="2"/>
      <c r="I223" s="2"/>
      <c r="L223" s="2"/>
    </row>
    <row r="224" spans="2:18" ht="15.75" customHeight="1" x14ac:dyDescent="0.25">
      <c r="B224" s="5" t="s">
        <v>137</v>
      </c>
      <c r="E224" s="53" t="s">
        <v>138</v>
      </c>
      <c r="F224" s="2">
        <f>+'Nynas Group_Quarterly overview'!Y217</f>
        <v>3326.3</v>
      </c>
      <c r="G224" s="2">
        <f>+'Nynas Group_Quarterly overview'!Z217</f>
        <v>3809.221</v>
      </c>
      <c r="H224" s="15"/>
      <c r="I224" s="2">
        <f>+'Nynas Group_Quarterly overview'!AB217</f>
        <v>3868.2</v>
      </c>
      <c r="L224" s="1"/>
    </row>
    <row r="225" spans="2:12" ht="15.75" customHeight="1" x14ac:dyDescent="0.25">
      <c r="B225" s="5" t="s">
        <v>139</v>
      </c>
      <c r="E225" s="53"/>
      <c r="F225" s="2">
        <f>+'Nynas Group_Quarterly overview'!Y218</f>
        <v>175.5</v>
      </c>
      <c r="G225" s="2">
        <f>+'Nynas Group_Quarterly overview'!Z218</f>
        <v>404.43200000000002</v>
      </c>
      <c r="H225" s="15"/>
      <c r="I225" s="2">
        <f>+'Nynas Group_Quarterly overview'!AB218</f>
        <v>281.89799999999997</v>
      </c>
      <c r="L225" s="1"/>
    </row>
    <row r="226" spans="2:12" ht="15.75" customHeight="1" x14ac:dyDescent="0.25">
      <c r="B226" s="5" t="s">
        <v>140</v>
      </c>
      <c r="E226" s="93" t="s">
        <v>141</v>
      </c>
      <c r="F226" s="2">
        <f>+'Nynas Group_Quarterly overview'!Y219</f>
        <v>367.2</v>
      </c>
      <c r="G226" s="2">
        <f>+'Nynas Group_Quarterly overview'!Z219</f>
        <v>381.69299999999998</v>
      </c>
      <c r="H226" s="15"/>
      <c r="I226" s="2">
        <f>+'Nynas Group_Quarterly overview'!AB219</f>
        <v>353.5</v>
      </c>
      <c r="L226" s="1"/>
    </row>
    <row r="227" spans="2:12" ht="15.75" customHeight="1" x14ac:dyDescent="0.25">
      <c r="B227" s="25" t="s">
        <v>142</v>
      </c>
      <c r="E227" s="53">
        <v>22</v>
      </c>
      <c r="F227" s="2">
        <f>+'Nynas Group_Quarterly overview'!Y220</f>
        <v>820.8</v>
      </c>
      <c r="G227" s="2">
        <f>+'Nynas Group_Quarterly overview'!Z220</f>
        <v>795.45299999999997</v>
      </c>
      <c r="H227" s="15"/>
      <c r="I227" s="2">
        <f>+'Nynas Group_Quarterly overview'!AB220</f>
        <v>824.3</v>
      </c>
      <c r="L227" s="2"/>
    </row>
    <row r="228" spans="2:12" ht="15.75" customHeight="1" x14ac:dyDescent="0.25">
      <c r="B228" s="7" t="s">
        <v>143</v>
      </c>
      <c r="C228" s="27"/>
      <c r="D228" s="27"/>
      <c r="E228" s="47"/>
      <c r="F228" s="48">
        <f>SUM(F224:F227)</f>
        <v>4689.8</v>
      </c>
      <c r="G228" s="48">
        <f>SUM(G224:G227)</f>
        <v>5390.7990000000009</v>
      </c>
      <c r="H228" s="7"/>
      <c r="I228" s="48">
        <f>SUM(I224:I227)</f>
        <v>5327.8980000000001</v>
      </c>
      <c r="J228" s="7"/>
      <c r="K228" s="7"/>
      <c r="L228" s="41"/>
    </row>
    <row r="229" spans="2:12" ht="15.75" customHeight="1" x14ac:dyDescent="0.25">
      <c r="E229" s="6"/>
      <c r="F229" s="2"/>
      <c r="G229" s="2"/>
      <c r="I229" s="2"/>
      <c r="L229" s="2"/>
    </row>
    <row r="230" spans="2:12" ht="15.75" customHeight="1" x14ac:dyDescent="0.25">
      <c r="B230" s="5" t="s">
        <v>144</v>
      </c>
      <c r="E230" s="6"/>
      <c r="F230" s="2"/>
      <c r="G230" s="2"/>
      <c r="I230" s="2"/>
      <c r="L230" s="2"/>
    </row>
    <row r="231" spans="2:12" ht="15.75" customHeight="1" x14ac:dyDescent="0.25">
      <c r="B231" s="5" t="s">
        <v>145</v>
      </c>
      <c r="E231" s="53"/>
      <c r="F231" s="2">
        <f>+'Nynas Group_Quarterly overview'!Y224</f>
        <v>21.4</v>
      </c>
      <c r="G231" s="2">
        <f>+'Nynas Group_Quarterly overview'!Z224</f>
        <v>21.006</v>
      </c>
      <c r="H231" s="15"/>
      <c r="I231" s="2">
        <f>+'Nynas Group_Quarterly overview'!AB224</f>
        <v>21.4</v>
      </c>
      <c r="L231" s="2"/>
    </row>
    <row r="232" spans="2:12" ht="15.75" customHeight="1" x14ac:dyDescent="0.25">
      <c r="B232" s="5" t="s">
        <v>146</v>
      </c>
      <c r="E232" s="53">
        <v>10</v>
      </c>
      <c r="F232" s="2">
        <f>+'Nynas Group_Quarterly overview'!Y225</f>
        <v>27.5</v>
      </c>
      <c r="G232" s="2">
        <f>+'Nynas Group_Quarterly overview'!Z225</f>
        <v>108.407</v>
      </c>
      <c r="H232" s="15"/>
      <c r="I232" s="2">
        <f>+'Nynas Group_Quarterly overview'!AB225</f>
        <v>108.2</v>
      </c>
      <c r="L232" s="2"/>
    </row>
    <row r="233" spans="2:12" ht="15.75" customHeight="1" x14ac:dyDescent="0.25">
      <c r="B233" s="5" t="s">
        <v>147</v>
      </c>
      <c r="E233" s="53">
        <v>23</v>
      </c>
      <c r="F233" s="2">
        <f>+'Nynas Group_Quarterly overview'!Y226</f>
        <v>181.71699999999998</v>
      </c>
      <c r="G233" s="2">
        <f>+'Nynas Group_Quarterly overview'!Z226</f>
        <v>332.85499999999996</v>
      </c>
      <c r="H233" s="15"/>
      <c r="I233" s="2">
        <f>+'Nynas Group_Quarterly overview'!AB226</f>
        <v>257.40000000000003</v>
      </c>
      <c r="L233" s="2"/>
    </row>
    <row r="234" spans="2:12" ht="15.75" customHeight="1" x14ac:dyDescent="0.25">
      <c r="B234" s="27" t="s">
        <v>148</v>
      </c>
      <c r="C234" s="27"/>
      <c r="D234" s="27"/>
      <c r="E234" s="47"/>
      <c r="F234" s="48">
        <f>SUM(F231:F233)</f>
        <v>230.61699999999999</v>
      </c>
      <c r="G234" s="48">
        <f>SUM(G231:G233)</f>
        <v>462.26799999999997</v>
      </c>
      <c r="H234" s="7"/>
      <c r="I234" s="48">
        <f>SUM(I231:I233)</f>
        <v>387</v>
      </c>
      <c r="J234" s="7"/>
      <c r="K234" s="7"/>
      <c r="L234" s="41"/>
    </row>
    <row r="235" spans="2:12" ht="15.75" customHeight="1" x14ac:dyDescent="0.25">
      <c r="E235" s="6"/>
      <c r="F235" s="41"/>
      <c r="G235" s="2"/>
      <c r="I235" s="2"/>
      <c r="L235" s="2"/>
    </row>
    <row r="236" spans="2:12" ht="15.75" customHeight="1" x14ac:dyDescent="0.25">
      <c r="B236" s="7" t="s">
        <v>149</v>
      </c>
      <c r="C236" s="7"/>
      <c r="D236" s="7"/>
      <c r="E236" s="94" t="s">
        <v>150</v>
      </c>
      <c r="F236" s="41">
        <f>+F228+F234</f>
        <v>4920.4170000000004</v>
      </c>
      <c r="G236" s="41">
        <f>+G228+G234</f>
        <v>5853.0670000000009</v>
      </c>
      <c r="H236" s="7"/>
      <c r="I236" s="41">
        <f>+I228+I234</f>
        <v>5714.8980000000001</v>
      </c>
      <c r="J236" s="7"/>
      <c r="K236" s="7"/>
      <c r="L236" s="41"/>
    </row>
    <row r="237" spans="2:12" ht="15.75" customHeight="1" x14ac:dyDescent="0.25">
      <c r="E237" s="6"/>
      <c r="F237" s="41"/>
      <c r="G237" s="2"/>
      <c r="I237" s="2"/>
      <c r="L237" s="2"/>
    </row>
    <row r="238" spans="2:12" ht="15.75" customHeight="1" x14ac:dyDescent="0.25">
      <c r="B238" s="5" t="s">
        <v>136</v>
      </c>
      <c r="E238" s="53"/>
      <c r="F238" s="41"/>
      <c r="G238" s="2"/>
      <c r="I238" s="2"/>
      <c r="L238" s="2"/>
    </row>
    <row r="239" spans="2:12" ht="15.75" customHeight="1" x14ac:dyDescent="0.25">
      <c r="B239" s="5" t="s">
        <v>151</v>
      </c>
      <c r="E239" s="53" t="s">
        <v>138</v>
      </c>
      <c r="F239" s="2">
        <f>+'Nynas Group_Quarterly overview'!Y232</f>
        <v>669.8</v>
      </c>
      <c r="G239" s="2">
        <f>+'Nynas Group_Quarterly overview'!Z232</f>
        <v>2125.0830000000001</v>
      </c>
      <c r="H239" s="15"/>
      <c r="I239" s="2">
        <f>+'Nynas Group_Quarterly overview'!AB232</f>
        <v>1095.2</v>
      </c>
      <c r="L239" s="1"/>
    </row>
    <row r="240" spans="2:12" ht="15.75" customHeight="1" x14ac:dyDescent="0.25">
      <c r="B240" s="5" t="s">
        <v>152</v>
      </c>
      <c r="E240" s="53"/>
      <c r="F240" s="2">
        <f>+'Nynas Group_Quarterly overview'!Y233</f>
        <v>225</v>
      </c>
      <c r="G240" s="2">
        <f>+'Nynas Group_Quarterly overview'!Z233</f>
        <v>181.79400000000001</v>
      </c>
      <c r="H240" s="15"/>
      <c r="I240" s="2">
        <f>+'Nynas Group_Quarterly overview'!AB233</f>
        <v>235.142</v>
      </c>
      <c r="L240" s="1"/>
    </row>
    <row r="241" spans="2:12" ht="15.75" customHeight="1" x14ac:dyDescent="0.25">
      <c r="B241" s="5" t="s">
        <v>153</v>
      </c>
      <c r="E241" s="95" t="s">
        <v>141</v>
      </c>
      <c r="F241" s="2">
        <f>+'Nynas Group_Quarterly overview'!Y234</f>
        <v>188.8</v>
      </c>
      <c r="G241" s="2">
        <f>+'Nynas Group_Quarterly overview'!Z234</f>
        <v>204.65600000000001</v>
      </c>
      <c r="H241" s="15"/>
      <c r="I241" s="2">
        <f>+'Nynas Group_Quarterly overview'!AB234</f>
        <v>223.8</v>
      </c>
      <c r="L241" s="1"/>
    </row>
    <row r="242" spans="2:12" ht="15.75" customHeight="1" x14ac:dyDescent="0.25">
      <c r="B242" s="27" t="s">
        <v>154</v>
      </c>
      <c r="C242" s="27"/>
      <c r="D242" s="27"/>
      <c r="E242" s="47"/>
      <c r="F242" s="48">
        <f>SUM(F239:F241)</f>
        <v>1083.5999999999999</v>
      </c>
      <c r="G242" s="48">
        <f>SUM(G239:G241)</f>
        <v>2511.5329999999999</v>
      </c>
      <c r="H242" s="7"/>
      <c r="I242" s="48">
        <f>SUM(I239:I241)</f>
        <v>1554.1420000000001</v>
      </c>
      <c r="J242" s="7"/>
      <c r="K242" s="7"/>
      <c r="L242" s="41"/>
    </row>
    <row r="243" spans="2:12" ht="15.75" customHeight="1" x14ac:dyDescent="0.25">
      <c r="E243" s="6"/>
      <c r="F243" s="41"/>
      <c r="G243" s="2"/>
      <c r="I243" s="2"/>
      <c r="L243" s="2"/>
    </row>
    <row r="244" spans="2:12" ht="15.75" customHeight="1" x14ac:dyDescent="0.25">
      <c r="B244" s="5" t="s">
        <v>155</v>
      </c>
      <c r="E244" s="6"/>
      <c r="F244" s="41"/>
      <c r="G244" s="2"/>
      <c r="I244" s="2"/>
      <c r="L244" s="2"/>
    </row>
    <row r="245" spans="2:12" ht="15.75" customHeight="1" x14ac:dyDescent="0.25">
      <c r="B245" s="5" t="s">
        <v>156</v>
      </c>
      <c r="E245" s="53">
        <v>26</v>
      </c>
      <c r="F245" s="2">
        <f>+'Nynas Group_Quarterly overview'!Y238</f>
        <v>516.9</v>
      </c>
      <c r="G245" s="2">
        <f>+'Nynas Group_Quarterly overview'!Z238</f>
        <v>354.68900000000002</v>
      </c>
      <c r="H245" s="15"/>
      <c r="I245" s="2">
        <f>+'Nynas Group_Quarterly overview'!AB238</f>
        <v>483.7</v>
      </c>
      <c r="L245" s="1"/>
    </row>
    <row r="246" spans="2:12" ht="15.75" customHeight="1" x14ac:dyDescent="0.25">
      <c r="B246" s="5" t="s">
        <v>157</v>
      </c>
      <c r="E246" s="53">
        <v>30</v>
      </c>
      <c r="F246" s="2">
        <f>+'Nynas Group_Quarterly overview'!Y239</f>
        <v>21.7</v>
      </c>
      <c r="G246" s="2">
        <f>+'Nynas Group_Quarterly overview'!Z239</f>
        <v>24.655999999999999</v>
      </c>
      <c r="H246" s="15"/>
      <c r="I246" s="2">
        <f>+'Nynas Group_Quarterly overview'!AB239</f>
        <v>18</v>
      </c>
      <c r="L246" s="1"/>
    </row>
    <row r="247" spans="2:12" ht="15.75" customHeight="1" x14ac:dyDescent="0.25">
      <c r="B247" s="5" t="s">
        <v>120</v>
      </c>
      <c r="E247" s="53" t="s">
        <v>158</v>
      </c>
      <c r="F247" s="2">
        <f>+'Nynas Group_Quarterly overview'!Y240</f>
        <v>11.8</v>
      </c>
      <c r="G247" s="2">
        <f>+'Nynas Group_Quarterly overview'!Z240</f>
        <v>0</v>
      </c>
      <c r="H247" s="15"/>
      <c r="I247" s="2">
        <f>+'Nynas Group_Quarterly overview'!AB240</f>
        <v>1.7</v>
      </c>
      <c r="L247" s="1"/>
    </row>
    <row r="248" spans="2:12" ht="15.75" customHeight="1" x14ac:dyDescent="0.25">
      <c r="B248" s="5" t="s">
        <v>159</v>
      </c>
      <c r="E248" s="53"/>
      <c r="F248" s="2">
        <f>+'Nynas Group_Quarterly overview'!Y241</f>
        <v>9</v>
      </c>
      <c r="G248" s="2">
        <f>+'Nynas Group_Quarterly overview'!Z241</f>
        <v>7.4489999999999998</v>
      </c>
      <c r="H248" s="15"/>
      <c r="I248" s="2">
        <f>+'Nynas Group_Quarterly overview'!AB241</f>
        <v>8.8000000000000007</v>
      </c>
      <c r="L248" s="2"/>
    </row>
    <row r="249" spans="2:12" ht="15.75" customHeight="1" x14ac:dyDescent="0.25">
      <c r="B249" s="5" t="s">
        <v>160</v>
      </c>
      <c r="E249" s="53">
        <v>26</v>
      </c>
      <c r="F249" s="2">
        <f>+'Nynas Group_Quarterly overview'!Y242</f>
        <v>259.89999999999998</v>
      </c>
      <c r="G249" s="2">
        <f>+'Nynas Group_Quarterly overview'!Z242</f>
        <v>266.33399999999995</v>
      </c>
      <c r="H249" s="15"/>
      <c r="I249" s="2">
        <f>+'Nynas Group_Quarterly overview'!AB242</f>
        <v>133.5</v>
      </c>
      <c r="L249" s="2"/>
    </row>
    <row r="250" spans="2:12" ht="15.75" customHeight="1" x14ac:dyDescent="0.25">
      <c r="B250" s="5" t="s">
        <v>161</v>
      </c>
      <c r="E250" s="53" t="s">
        <v>162</v>
      </c>
      <c r="F250" s="2">
        <f>+'Nynas Group_Quarterly overview'!Y243</f>
        <v>751.7</v>
      </c>
      <c r="G250" s="2">
        <f>+'Nynas Group_Quarterly overview'!Z243</f>
        <v>745.54700000000003</v>
      </c>
      <c r="H250" s="15"/>
      <c r="I250" s="2">
        <f>+'Nynas Group_Quarterly overview'!AB243</f>
        <v>831.8</v>
      </c>
      <c r="L250" s="2"/>
    </row>
    <row r="251" spans="2:12" ht="15.75" customHeight="1" x14ac:dyDescent="0.25">
      <c r="B251" s="5" t="s">
        <v>163</v>
      </c>
      <c r="E251" s="53">
        <v>23</v>
      </c>
      <c r="F251" s="2">
        <f>+'Nynas Group_Quarterly overview'!Y244</f>
        <v>486.58299999999997</v>
      </c>
      <c r="G251" s="2">
        <f>+'Nynas Group_Quarterly overview'!Z244</f>
        <v>226.8</v>
      </c>
      <c r="H251" s="15"/>
      <c r="I251" s="2">
        <f>+'Nynas Group_Quarterly overview'!AB244</f>
        <v>419.2</v>
      </c>
      <c r="L251" s="2"/>
    </row>
    <row r="252" spans="2:12" ht="15.75" customHeight="1" x14ac:dyDescent="0.25">
      <c r="B252" s="27" t="s">
        <v>164</v>
      </c>
      <c r="C252" s="27"/>
      <c r="D252" s="27"/>
      <c r="E252" s="55"/>
      <c r="F252" s="48">
        <f>SUM(F245:F251)</f>
        <v>2057.5830000000001</v>
      </c>
      <c r="G252" s="48">
        <f>SUM(G245:G251)</f>
        <v>1625.4749999999999</v>
      </c>
      <c r="H252" s="7"/>
      <c r="I252" s="48">
        <f>SUM(I245:I251)</f>
        <v>1896.7</v>
      </c>
      <c r="J252" s="7"/>
      <c r="K252" s="7"/>
      <c r="L252" s="41"/>
    </row>
    <row r="253" spans="2:12" ht="15.75" customHeight="1" x14ac:dyDescent="0.25">
      <c r="E253" s="15"/>
      <c r="F253" s="41"/>
      <c r="G253" s="2"/>
      <c r="I253" s="2"/>
      <c r="L253" s="2"/>
    </row>
    <row r="254" spans="2:12" ht="15.75" customHeight="1" x14ac:dyDescent="0.25">
      <c r="B254" s="27" t="s">
        <v>165</v>
      </c>
      <c r="C254" s="27"/>
      <c r="D254" s="27"/>
      <c r="E254" s="75"/>
      <c r="F254" s="48">
        <f>+F242+F252</f>
        <v>3141.183</v>
      </c>
      <c r="G254" s="48">
        <f>+G242+G252</f>
        <v>4137.0079999999998</v>
      </c>
      <c r="H254" s="7"/>
      <c r="I254" s="48">
        <f>+I242+I252</f>
        <v>3450.8420000000001</v>
      </c>
      <c r="J254" s="7"/>
      <c r="K254" s="7"/>
      <c r="L254" s="41"/>
    </row>
    <row r="255" spans="2:12" ht="15.75" customHeight="1" x14ac:dyDescent="0.25">
      <c r="E255" s="54"/>
      <c r="F255" s="41"/>
      <c r="G255" s="2"/>
      <c r="I255" s="2"/>
      <c r="L255" s="2"/>
    </row>
    <row r="256" spans="2:12" ht="15.75" customHeight="1" x14ac:dyDescent="0.25">
      <c r="B256" s="27" t="s">
        <v>166</v>
      </c>
      <c r="C256" s="27"/>
      <c r="D256" s="27"/>
      <c r="E256" s="55"/>
      <c r="F256" s="48">
        <f>F221+F236+F254</f>
        <v>10345.708741289494</v>
      </c>
      <c r="G256" s="48">
        <f>G221+G236+G254</f>
        <v>11265.302000000005</v>
      </c>
      <c r="H256" s="7"/>
      <c r="I256" s="48">
        <f>I221+I236+I254</f>
        <v>10024.339996624485</v>
      </c>
      <c r="J256" s="7"/>
      <c r="K256" s="7"/>
      <c r="L256" s="41"/>
    </row>
    <row r="257" spans="2:14" ht="15.75" customHeight="1" x14ac:dyDescent="0.25">
      <c r="F257" s="7"/>
    </row>
    <row r="258" spans="2:14" ht="15.75" customHeight="1" x14ac:dyDescent="0.25">
      <c r="E258" s="56"/>
      <c r="F258" s="7"/>
      <c r="G258" s="7"/>
    </row>
    <row r="259" spans="2:14" ht="15.75" customHeight="1" x14ac:dyDescent="0.25">
      <c r="E259" s="56"/>
      <c r="F259" s="7"/>
      <c r="G259" s="7"/>
    </row>
    <row r="260" spans="2:14" ht="15.75" customHeight="1" x14ac:dyDescent="0.25">
      <c r="E260" s="56"/>
      <c r="F260" s="52"/>
      <c r="G260" s="7"/>
    </row>
    <row r="261" spans="2:14" ht="15.75" customHeight="1" x14ac:dyDescent="0.25">
      <c r="E261" s="15"/>
      <c r="F261" s="15"/>
      <c r="G261" s="15"/>
      <c r="H261" s="15"/>
      <c r="I261" s="15"/>
      <c r="J261" s="15"/>
      <c r="K261" s="15"/>
      <c r="L261" s="7"/>
      <c r="N261" s="7"/>
    </row>
    <row r="262" spans="2:14" ht="22.5" customHeight="1" thickBot="1" x14ac:dyDescent="0.45">
      <c r="B262" s="21" t="s">
        <v>167</v>
      </c>
      <c r="C262" s="22"/>
      <c r="D262" s="23"/>
      <c r="E262" s="23"/>
      <c r="F262" s="23"/>
      <c r="G262" s="23"/>
      <c r="H262" s="23"/>
      <c r="I262" s="23"/>
      <c r="J262" s="24"/>
    </row>
    <row r="263" spans="2:14" ht="15.75" customHeight="1" x14ac:dyDescent="0.25">
      <c r="B263" s="7"/>
      <c r="J263" s="7"/>
    </row>
    <row r="264" spans="2:14" ht="24" x14ac:dyDescent="0.4">
      <c r="B264" s="3"/>
      <c r="C264" s="4"/>
      <c r="F264" s="207"/>
      <c r="G264" s="208"/>
    </row>
    <row r="265" spans="2:14" ht="15.75" customHeight="1" x14ac:dyDescent="0.25">
      <c r="B265" s="7"/>
      <c r="E265" s="15"/>
      <c r="F265" s="109" t="str">
        <f>+$F$5</f>
        <v>Q2</v>
      </c>
      <c r="G265" s="109" t="str">
        <f>+$G$5</f>
        <v>Q2</v>
      </c>
      <c r="H265" s="11"/>
      <c r="I265" s="109" t="str">
        <f>+$F$5</f>
        <v>Q2</v>
      </c>
      <c r="J265" s="109" t="str">
        <f>+$G$5</f>
        <v>Q2</v>
      </c>
      <c r="K265" s="110"/>
      <c r="L265" s="109" t="str">
        <f>+$L$5</f>
        <v>LTM</v>
      </c>
      <c r="M265" s="109" t="str">
        <f>+$M$5</f>
        <v>LTM</v>
      </c>
      <c r="N265" s="12"/>
    </row>
    <row r="266" spans="2:14" ht="15.75" customHeight="1" x14ac:dyDescent="0.25">
      <c r="E266" s="9" t="s">
        <v>68</v>
      </c>
      <c r="F266" s="107" t="str">
        <f>+F$6</f>
        <v>Q2 2025</v>
      </c>
      <c r="G266" s="107" t="str">
        <f>+G$6</f>
        <v>Q2 2024</v>
      </c>
      <c r="I266" s="106">
        <f>+I$6</f>
        <v>2025</v>
      </c>
      <c r="J266" s="106">
        <f>+J$6</f>
        <v>2024</v>
      </c>
      <c r="K266" s="7"/>
      <c r="L266" s="108">
        <f>+L$6</f>
        <v>2025</v>
      </c>
      <c r="M266" s="108">
        <f>+M$6</f>
        <v>2024</v>
      </c>
      <c r="N266" s="14"/>
    </row>
    <row r="267" spans="2:14" ht="15.75" customHeight="1" x14ac:dyDescent="0.25">
      <c r="E267" s="11"/>
      <c r="F267" s="42"/>
      <c r="G267" s="42"/>
      <c r="I267" s="42"/>
      <c r="J267" s="42"/>
    </row>
    <row r="268" spans="2:14" ht="15.75" customHeight="1" x14ac:dyDescent="0.25">
      <c r="B268" s="5" t="s">
        <v>168</v>
      </c>
      <c r="E268" s="11"/>
      <c r="I268" s="42"/>
      <c r="J268" s="42"/>
    </row>
    <row r="269" spans="2:14" ht="15.75" customHeight="1" x14ac:dyDescent="0.25">
      <c r="B269" s="5" t="s">
        <v>169</v>
      </c>
      <c r="E269" s="6"/>
      <c r="F269" s="2">
        <f>+'Nynas Group_Quarterly overview'!S255</f>
        <v>-240.9400633472639</v>
      </c>
      <c r="G269" s="2">
        <f>+'Nynas Group_Quarterly overview'!T255</f>
        <v>67.329999999999103</v>
      </c>
      <c r="I269" s="2">
        <f>+'Nynas Group_Quarterly overview'!Y255</f>
        <v>-522.13499999999999</v>
      </c>
      <c r="J269" s="2">
        <f>+'Nynas Group_Quarterly overview'!Z255</f>
        <v>-46.11900000000044</v>
      </c>
      <c r="L269" s="2">
        <f>+'Nynas Group_Quarterly overview'!V255</f>
        <v>-924.70957531033775</v>
      </c>
      <c r="M269" s="2">
        <f>+'Nynas Group_Quarterly overview'!W255</f>
        <v>385.08182894427563</v>
      </c>
    </row>
    <row r="270" spans="2:14" ht="15.75" customHeight="1" x14ac:dyDescent="0.25">
      <c r="B270" s="5" t="s">
        <v>170</v>
      </c>
      <c r="E270" s="20">
        <v>31</v>
      </c>
      <c r="F270" s="2">
        <f>+'Nynas Group_Quarterly overview'!S256</f>
        <v>259.30500000000001</v>
      </c>
      <c r="G270" s="2">
        <f>+'Nynas Group_Quarterly overview'!T256</f>
        <v>17.108000000000004</v>
      </c>
      <c r="I270" s="2">
        <f>+'Nynas Group_Quarterly overview'!Y256</f>
        <v>355.17700000000002</v>
      </c>
      <c r="J270" s="2">
        <f>+'Nynas Group_Quarterly overview'!Z256</f>
        <v>188.839</v>
      </c>
      <c r="L270" s="2">
        <f>+'Nynas Group_Quarterly overview'!V256</f>
        <v>1073.3270000000002</v>
      </c>
      <c r="M270" s="2">
        <f>+'Nynas Group_Quarterly overview'!W256</f>
        <v>-57.039000000000044</v>
      </c>
    </row>
    <row r="271" spans="2:14" ht="15.75" customHeight="1" x14ac:dyDescent="0.25">
      <c r="B271" s="5" t="s">
        <v>171</v>
      </c>
      <c r="E271" s="6"/>
      <c r="F271" s="2">
        <f>+'Nynas Group_Quarterly overview'!S257</f>
        <v>-6.9019999999999992</v>
      </c>
      <c r="G271" s="2">
        <f>+'Nynas Group_Quarterly overview'!T257</f>
        <v>-3.9539999999999997</v>
      </c>
      <c r="I271" s="2">
        <f>+'Nynas Group_Quarterly overview'!Y257</f>
        <v>-10.798999999999999</v>
      </c>
      <c r="J271" s="2">
        <f>+'Nynas Group_Quarterly overview'!Z257</f>
        <v>-5.4459999999999997</v>
      </c>
      <c r="L271" s="2">
        <f>+'Nynas Group_Quarterly overview'!V257</f>
        <v>-26.247</v>
      </c>
      <c r="M271" s="2">
        <f>+'Nynas Group_Quarterly overview'!W257</f>
        <v>-25.354999999999997</v>
      </c>
    </row>
    <row r="272" spans="2:14" ht="15.75" customHeight="1" x14ac:dyDescent="0.25">
      <c r="B272" s="17" t="s">
        <v>172</v>
      </c>
      <c r="C272" s="17"/>
      <c r="D272" s="17"/>
      <c r="E272" s="57"/>
      <c r="F272" s="96"/>
      <c r="G272" s="97"/>
      <c r="I272" s="97"/>
      <c r="J272" s="97"/>
      <c r="L272" s="96"/>
      <c r="M272" s="96"/>
    </row>
    <row r="273" spans="2:13" ht="15.75" customHeight="1" x14ac:dyDescent="0.25">
      <c r="B273" s="5" t="s">
        <v>173</v>
      </c>
      <c r="E273" s="6"/>
      <c r="F273" s="41">
        <f>SUM(F269:F271)</f>
        <v>11.462936652736106</v>
      </c>
      <c r="G273" s="41">
        <f>SUM(G269:G271)</f>
        <v>80.483999999999114</v>
      </c>
      <c r="I273" s="41">
        <f>SUM(I269:I271)</f>
        <v>-177.75699999999998</v>
      </c>
      <c r="J273" s="41">
        <f>SUM(J269:J271)</f>
        <v>137.27399999999957</v>
      </c>
      <c r="L273" s="41">
        <f>SUM(L269:L271)</f>
        <v>122.37042468966247</v>
      </c>
      <c r="M273" s="41">
        <f>SUM(M269:M271)</f>
        <v>302.68782894427557</v>
      </c>
    </row>
    <row r="274" spans="2:13" ht="15.75" customHeight="1" x14ac:dyDescent="0.25">
      <c r="E274" s="6"/>
      <c r="F274" s="41"/>
      <c r="G274" s="2"/>
      <c r="I274" s="2"/>
      <c r="J274" s="2"/>
      <c r="L274" s="41"/>
      <c r="M274" s="41"/>
    </row>
    <row r="275" spans="2:13" ht="15.75" customHeight="1" x14ac:dyDescent="0.25">
      <c r="B275" s="5" t="s">
        <v>174</v>
      </c>
      <c r="E275" s="6"/>
      <c r="F275" s="41"/>
      <c r="G275" s="2"/>
      <c r="I275" s="2"/>
      <c r="J275" s="2"/>
      <c r="L275" s="41"/>
      <c r="M275" s="41"/>
    </row>
    <row r="276" spans="2:13" ht="15.75" customHeight="1" x14ac:dyDescent="0.25">
      <c r="B276" s="5" t="s">
        <v>175</v>
      </c>
      <c r="E276" s="6"/>
      <c r="F276" s="2">
        <f>+'Nynas Group_Quarterly overview'!S261</f>
        <v>-475.18599999999998</v>
      </c>
      <c r="G276" s="2">
        <f>+'Nynas Group_Quarterly overview'!T261</f>
        <v>-192.48300000000006</v>
      </c>
      <c r="I276" s="2">
        <f>+'Nynas Group_Quarterly overview'!Y261</f>
        <v>-480.327</v>
      </c>
      <c r="J276" s="2">
        <f>+'Nynas Group_Quarterly overview'!Z261</f>
        <v>-792.22</v>
      </c>
      <c r="L276" s="2">
        <f>+'Nynas Group_Quarterly overview'!V261</f>
        <v>616.97900000000004</v>
      </c>
      <c r="M276" s="2">
        <f>+'Nynas Group_Quarterly overview'!W261</f>
        <v>-146.07100000000014</v>
      </c>
    </row>
    <row r="277" spans="2:13" ht="15.75" customHeight="1" x14ac:dyDescent="0.25">
      <c r="B277" s="5" t="s">
        <v>33</v>
      </c>
      <c r="E277" s="6"/>
      <c r="F277" s="2">
        <f>+'Nynas Group_Quarterly overview'!S262</f>
        <v>529.25400000000002</v>
      </c>
      <c r="G277" s="2">
        <f>+'Nynas Group_Quarterly overview'!T262</f>
        <v>-583.62</v>
      </c>
      <c r="I277" s="2">
        <f>+'Nynas Group_Quarterly overview'!Y262</f>
        <v>-142.673</v>
      </c>
      <c r="J277" s="2">
        <f>+'Nynas Group_Quarterly overview'!Z262</f>
        <v>-631.745</v>
      </c>
      <c r="L277" s="2">
        <f>+'Nynas Group_Quarterly overview'!V262</f>
        <v>696.85699999999997</v>
      </c>
      <c r="M277" s="2">
        <f>+'Nynas Group_Quarterly overview'!W262</f>
        <v>12.960000000000036</v>
      </c>
    </row>
    <row r="278" spans="2:13" ht="15.75" customHeight="1" x14ac:dyDescent="0.25">
      <c r="B278" s="5" t="s">
        <v>176</v>
      </c>
      <c r="E278" s="6"/>
      <c r="F278" s="2">
        <f>+'Nynas Group_Quarterly overview'!S263</f>
        <v>101.551</v>
      </c>
      <c r="G278" s="2">
        <f>+'Nynas Group_Quarterly overview'!T263</f>
        <v>151.4443</v>
      </c>
      <c r="I278" s="2">
        <f>+'Nynas Group_Quarterly overview'!Y263</f>
        <v>188.238</v>
      </c>
      <c r="J278" s="2">
        <f>+'Nynas Group_Quarterly overview'!Z263</f>
        <v>159.68949899999998</v>
      </c>
      <c r="L278" s="2">
        <f>+'Nynas Group_Quarterly overview'!V263</f>
        <v>129.68350100000004</v>
      </c>
      <c r="M278" s="2">
        <f>+'Nynas Group_Quarterly overview'!W263</f>
        <v>265.1088289999999</v>
      </c>
    </row>
    <row r="279" spans="2:13" ht="15.75" customHeight="1" x14ac:dyDescent="0.25">
      <c r="B279" s="17" t="s">
        <v>173</v>
      </c>
      <c r="C279" s="17"/>
      <c r="D279" s="17"/>
      <c r="E279" s="57"/>
      <c r="F279" s="48">
        <f>SUM(F276:F278)</f>
        <v>155.61900000000003</v>
      </c>
      <c r="G279" s="48">
        <f>SUM(G276:G278)</f>
        <v>-624.65870000000007</v>
      </c>
      <c r="I279" s="48">
        <f>SUM(I276:I278)</f>
        <v>-434.762</v>
      </c>
      <c r="J279" s="48">
        <f>SUM(J276:J278)</f>
        <v>-1264.2755010000001</v>
      </c>
      <c r="L279" s="48">
        <f>SUM(L276:L278)</f>
        <v>1443.519501</v>
      </c>
      <c r="M279" s="48">
        <f>SUM(M276:M278)</f>
        <v>131.9978289999998</v>
      </c>
    </row>
    <row r="280" spans="2:13" ht="15.75" customHeight="1" x14ac:dyDescent="0.25">
      <c r="E280" s="6"/>
      <c r="F280" s="41"/>
      <c r="G280" s="41"/>
      <c r="I280" s="41"/>
      <c r="J280" s="41"/>
      <c r="L280" s="41"/>
      <c r="M280" s="41"/>
    </row>
    <row r="281" spans="2:13" ht="15.75" customHeight="1" x14ac:dyDescent="0.25">
      <c r="B281" s="17" t="s">
        <v>46</v>
      </c>
      <c r="C281" s="27"/>
      <c r="D281" s="27"/>
      <c r="E281" s="57"/>
      <c r="F281" s="48">
        <f>+F273+F279</f>
        <v>167.08193665273615</v>
      </c>
      <c r="G281" s="48">
        <f>+G273+G279</f>
        <v>-544.17470000000094</v>
      </c>
      <c r="I281" s="48">
        <f t="shared" ref="I281:J281" si="9">+I273+I279</f>
        <v>-612.51900000000001</v>
      </c>
      <c r="J281" s="48">
        <f t="shared" si="9"/>
        <v>-1127.0015010000004</v>
      </c>
      <c r="L281" s="48">
        <f>+L273+L279</f>
        <v>1565.8899256896625</v>
      </c>
      <c r="M281" s="48">
        <f>+M273+M279</f>
        <v>434.68565794427536</v>
      </c>
    </row>
    <row r="282" spans="2:13" ht="13.5" customHeight="1" x14ac:dyDescent="0.25">
      <c r="C282" s="7"/>
      <c r="D282" s="7"/>
      <c r="E282" s="6"/>
      <c r="F282" s="41"/>
      <c r="G282" s="2"/>
      <c r="I282" s="2"/>
      <c r="J282" s="2"/>
      <c r="L282" s="41"/>
      <c r="M282" s="41"/>
    </row>
    <row r="283" spans="2:13" ht="17.25" customHeight="1" x14ac:dyDescent="0.25">
      <c r="B283" s="5" t="s">
        <v>177</v>
      </c>
      <c r="E283" s="6"/>
      <c r="F283" s="41"/>
      <c r="G283" s="2"/>
      <c r="I283" s="2"/>
      <c r="J283" s="2"/>
      <c r="L283" s="41"/>
      <c r="M283" s="41"/>
    </row>
    <row r="284" spans="2:13" ht="16.5" customHeight="1" x14ac:dyDescent="0.25">
      <c r="B284" s="5" t="s">
        <v>178</v>
      </c>
      <c r="E284" s="6"/>
      <c r="F284" s="2">
        <f>+'Nynas Group_Quarterly overview'!S269</f>
        <v>0</v>
      </c>
      <c r="G284" s="2">
        <f>+'Nynas Group_Quarterly overview'!T269</f>
        <v>-4.8440000000000003</v>
      </c>
      <c r="I284" s="2">
        <f>+'Nynas Group_Quarterly overview'!Y269</f>
        <v>0</v>
      </c>
      <c r="J284" s="2">
        <f>+'Nynas Group_Quarterly overview'!Z269</f>
        <v>-4.8440000000000003</v>
      </c>
      <c r="L284" s="2">
        <f>+'Nynas Group_Quarterly overview'!V269</f>
        <v>-0.54099999999999948</v>
      </c>
      <c r="M284" s="2">
        <f>+'Nynas Group_Quarterly overview'!W269</f>
        <v>-7.4009999999999998</v>
      </c>
    </row>
    <row r="285" spans="2:13" ht="15.75" customHeight="1" x14ac:dyDescent="0.25">
      <c r="B285" s="5" t="s">
        <v>179</v>
      </c>
      <c r="E285" s="6"/>
      <c r="F285" s="2">
        <f>+'Nynas Group_Quarterly overview'!S270</f>
        <v>-84.123000000000005</v>
      </c>
      <c r="G285" s="2">
        <f>+'Nynas Group_Quarterly overview'!T270</f>
        <v>-48.087999999999994</v>
      </c>
      <c r="I285" s="2">
        <f>+'Nynas Group_Quarterly overview'!Y270</f>
        <v>-162.43100000000001</v>
      </c>
      <c r="J285" s="2">
        <f>+'Nynas Group_Quarterly overview'!Z270</f>
        <v>-123.71299999999999</v>
      </c>
      <c r="L285" s="2">
        <f>+'Nynas Group_Quarterly overview'!V270</f>
        <v>-396.14500000000004</v>
      </c>
      <c r="M285" s="2">
        <f>+'Nynas Group_Quarterly overview'!W270</f>
        <v>-588.71</v>
      </c>
    </row>
    <row r="286" spans="2:13" ht="15.75" customHeight="1" x14ac:dyDescent="0.25">
      <c r="B286" s="5" t="s">
        <v>180</v>
      </c>
      <c r="E286" s="6"/>
      <c r="F286" s="2">
        <f>+'Nynas Group_Quarterly overview'!S271</f>
        <v>0</v>
      </c>
      <c r="G286" s="2">
        <f>+'Nynas Group_Quarterly overview'!T271</f>
        <v>0</v>
      </c>
      <c r="I286" s="2">
        <f>+'Nynas Group_Quarterly overview'!Y271</f>
        <v>4.9000000000000004</v>
      </c>
      <c r="J286" s="2">
        <f>+'Nynas Group_Quarterly overview'!Z271</f>
        <v>0</v>
      </c>
      <c r="L286" s="2">
        <f>+'Nynas Group_Quarterly overview'!V271</f>
        <v>4.9000000000000004</v>
      </c>
      <c r="M286" s="2">
        <f>+'Nynas Group_Quarterly overview'!W271</f>
        <v>3.78</v>
      </c>
    </row>
    <row r="287" spans="2:13" ht="15.75" customHeight="1" x14ac:dyDescent="0.25">
      <c r="B287" s="5" t="s">
        <v>181</v>
      </c>
      <c r="E287" s="6"/>
      <c r="F287" s="2">
        <f>+'Nynas Group_Quarterly overview'!S272</f>
        <v>0</v>
      </c>
      <c r="G287" s="2">
        <f>+'Nynas Group_Quarterly overview'!T272</f>
        <v>0</v>
      </c>
      <c r="I287" s="2">
        <f>+'Nynas Group_Quarterly overview'!Y272</f>
        <v>0</v>
      </c>
      <c r="J287" s="2">
        <f>+'Nynas Group_Quarterly overview'!Z272</f>
        <v>0</v>
      </c>
      <c r="L287" s="2">
        <f>+'Nynas Group_Quarterly overview'!V272</f>
        <v>0</v>
      </c>
      <c r="M287" s="2">
        <f>+'Nynas Group_Quarterly overview'!W272</f>
        <v>1.905</v>
      </c>
    </row>
    <row r="288" spans="2:13" ht="15.75" customHeight="1" x14ac:dyDescent="0.25">
      <c r="B288" s="17" t="s">
        <v>182</v>
      </c>
      <c r="C288" s="17"/>
      <c r="D288" s="17"/>
      <c r="E288" s="57"/>
      <c r="F288" s="29">
        <f>SUM(F284:F287)</f>
        <v>-84.123000000000005</v>
      </c>
      <c r="G288" s="29">
        <f>SUM(G284:G287)</f>
        <v>-52.931999999999995</v>
      </c>
      <c r="H288" s="15"/>
      <c r="I288" s="29">
        <f>SUM(I284:I287)</f>
        <v>-157.53100000000001</v>
      </c>
      <c r="J288" s="29">
        <f>SUM(J284:J287)</f>
        <v>-128.55699999999999</v>
      </c>
      <c r="K288" s="15"/>
      <c r="L288" s="29">
        <f>SUM(L284:L287)</f>
        <v>-391.78600000000006</v>
      </c>
      <c r="M288" s="29">
        <f>SUM(M284:M287)</f>
        <v>-590.42600000000004</v>
      </c>
    </row>
    <row r="289" spans="2:13" ht="15.75" customHeight="1" x14ac:dyDescent="0.25">
      <c r="E289" s="6"/>
      <c r="F289" s="32"/>
      <c r="G289" s="1"/>
      <c r="H289" s="15"/>
      <c r="I289" s="1"/>
      <c r="J289" s="1"/>
      <c r="K289" s="15"/>
      <c r="L289" s="32"/>
      <c r="M289" s="32"/>
    </row>
    <row r="290" spans="2:13" ht="15.75" customHeight="1" x14ac:dyDescent="0.25">
      <c r="B290" s="5" t="s">
        <v>183</v>
      </c>
      <c r="E290" s="20">
        <v>31</v>
      </c>
      <c r="F290" s="32"/>
      <c r="G290" s="1"/>
      <c r="H290" s="15"/>
      <c r="I290" s="1"/>
      <c r="J290" s="1"/>
      <c r="K290" s="15"/>
      <c r="L290" s="32"/>
      <c r="M290" s="32"/>
    </row>
    <row r="291" spans="2:13" ht="15.75" customHeight="1" x14ac:dyDescent="0.25">
      <c r="B291" s="5" t="s">
        <v>184</v>
      </c>
      <c r="E291" s="6"/>
      <c r="F291" s="2">
        <f>+'Nynas Group_Quarterly overview'!S276</f>
        <v>3524.4360000000006</v>
      </c>
      <c r="G291" s="2">
        <f>+'Nynas Group_Quarterly overview'!T276</f>
        <v>641.23399999999992</v>
      </c>
      <c r="I291" s="2">
        <f>+'Nynas Group_Quarterly overview'!Y276</f>
        <v>3900.3410000000003</v>
      </c>
      <c r="J291" s="2">
        <f>+'Nynas Group_Quarterly overview'!Z276</f>
        <v>961.14899999999989</v>
      </c>
      <c r="L291" s="2">
        <f>+'Nynas Group_Quarterly overview'!V276</f>
        <v>2939.1920000000005</v>
      </c>
      <c r="M291" s="2">
        <f>+'Nynas Group_Quarterly overview'!W276</f>
        <v>878.99699999999984</v>
      </c>
    </row>
    <row r="292" spans="2:13" ht="15.75" customHeight="1" x14ac:dyDescent="0.25">
      <c r="B292" s="5" t="s">
        <v>185</v>
      </c>
      <c r="E292" s="6"/>
      <c r="F292" s="2">
        <f>+'Nynas Group_Quarterly overview'!S277</f>
        <v>-70.802999999999983</v>
      </c>
      <c r="G292" s="2">
        <f>+'Nynas Group_Quarterly overview'!T277</f>
        <v>-78.319000000000003</v>
      </c>
      <c r="I292" s="2">
        <f>+'Nynas Group_Quarterly overview'!Y277</f>
        <v>-140.94399999999999</v>
      </c>
      <c r="J292" s="2">
        <f>+'Nynas Group_Quarterly overview'!Z277</f>
        <v>-154.52500000000001</v>
      </c>
      <c r="L292" s="2">
        <f>+'Nynas Group_Quarterly overview'!V277</f>
        <v>-264.74599999999998</v>
      </c>
      <c r="M292" s="2">
        <f>+'Nynas Group_Quarterly overview'!W277</f>
        <v>-303.90500000000003</v>
      </c>
    </row>
    <row r="293" spans="2:13" ht="15.75" customHeight="1" x14ac:dyDescent="0.25">
      <c r="B293" s="5" t="s">
        <v>186</v>
      </c>
      <c r="E293" s="6"/>
      <c r="F293" s="2">
        <f>+'Nynas Group_Quarterly overview'!S278</f>
        <v>-2819.5190000000002</v>
      </c>
      <c r="G293" s="2">
        <f>+'Nynas Group_Quarterly overview'!T278</f>
        <v>0</v>
      </c>
      <c r="I293" s="2">
        <f>+'Nynas Group_Quarterly overview'!Y278</f>
        <v>-2819.5190000000002</v>
      </c>
      <c r="J293" s="2">
        <f>+'Nynas Group_Quarterly overview'!Z278</f>
        <v>0</v>
      </c>
      <c r="L293" s="2">
        <f>+'Nynas Group_Quarterly overview'!V278</f>
        <v>-2901.7170000000001</v>
      </c>
      <c r="M293" s="2">
        <f>+'Nynas Group_Quarterly overview'!W278</f>
        <v>-288.09400000000005</v>
      </c>
    </row>
    <row r="294" spans="2:13" ht="15.75" customHeight="1" x14ac:dyDescent="0.25">
      <c r="B294" s="5" t="s">
        <v>187</v>
      </c>
      <c r="E294" s="6"/>
      <c r="F294" s="2">
        <f>+'Nynas Group_Quarterly overview'!S279</f>
        <v>-5.9159999999999968</v>
      </c>
      <c r="G294" s="2">
        <f>+'Nynas Group_Quarterly overview'!T279</f>
        <v>-21.518300000000004</v>
      </c>
      <c r="I294" s="2">
        <f>+'Nynas Group_Quarterly overview'!Y279</f>
        <v>-107.834</v>
      </c>
      <c r="J294" s="2">
        <f>+'Nynas Group_Quarterly overview'!Z279</f>
        <v>-67.967499000000004</v>
      </c>
      <c r="L294" s="2">
        <f>+'Nynas Group_Quarterly overview'!V279</f>
        <v>-181.79436099999998</v>
      </c>
      <c r="M294" s="2">
        <f>+'Nynas Group_Quarterly overview'!W279</f>
        <v>-100.45882899999999</v>
      </c>
    </row>
    <row r="295" spans="2:13" ht="15.75" customHeight="1" x14ac:dyDescent="0.25">
      <c r="B295" s="5" t="s">
        <v>188</v>
      </c>
      <c r="E295" s="6"/>
      <c r="F295" s="2">
        <f>+'Nynas Group_Quarterly overview'!S280</f>
        <v>-37.875</v>
      </c>
      <c r="G295" s="2">
        <f>+'Nynas Group_Quarterly overview'!T280</f>
        <v>-23.76700000000001</v>
      </c>
      <c r="I295" s="2">
        <f>+'Nynas Group_Quarterly overview'!Y280</f>
        <v>-67.382999999999996</v>
      </c>
      <c r="J295" s="2">
        <f>+'Nynas Group_Quarterly overview'!Z280</f>
        <v>-76.917000000000002</v>
      </c>
      <c r="L295" s="2">
        <f>+'Nynas Group_Quarterly overview'!V280</f>
        <v>-156.36599999999999</v>
      </c>
      <c r="M295" s="2">
        <f>+'Nynas Group_Quarterly overview'!W280</f>
        <v>-334.27199999999999</v>
      </c>
    </row>
    <row r="296" spans="2:13" ht="15.75" customHeight="1" x14ac:dyDescent="0.25">
      <c r="B296" s="17" t="s">
        <v>189</v>
      </c>
      <c r="C296" s="17"/>
      <c r="D296" s="17"/>
      <c r="E296" s="57"/>
      <c r="F296" s="29">
        <f>SUM(F291:F295)</f>
        <v>590.32300000000055</v>
      </c>
      <c r="G296" s="29">
        <f>SUM(G291:G295)</f>
        <v>517.62969999999996</v>
      </c>
      <c r="H296" s="15"/>
      <c r="I296" s="29">
        <f>SUM(I291:I295)</f>
        <v>764.66100000000006</v>
      </c>
      <c r="J296" s="29">
        <f>SUM(J291:J295)</f>
        <v>661.7395009999999</v>
      </c>
      <c r="K296" s="15"/>
      <c r="L296" s="29">
        <f>SUM(L291:L295)</f>
        <v>-565.4313609999997</v>
      </c>
      <c r="M296" s="29">
        <f>SUM(M291:M295)</f>
        <v>-147.73282900000015</v>
      </c>
    </row>
    <row r="297" spans="2:13" ht="15.75" customHeight="1" x14ac:dyDescent="0.25">
      <c r="E297" s="6"/>
      <c r="F297" s="32"/>
      <c r="G297" s="1"/>
      <c r="H297" s="15"/>
      <c r="I297" s="1"/>
      <c r="J297" s="1"/>
      <c r="K297" s="15"/>
      <c r="L297" s="32"/>
      <c r="M297" s="32"/>
    </row>
    <row r="298" spans="2:13" ht="15.75" customHeight="1" x14ac:dyDescent="0.25">
      <c r="B298" s="27" t="s">
        <v>190</v>
      </c>
      <c r="C298" s="58"/>
      <c r="D298" s="58"/>
      <c r="E298" s="47"/>
      <c r="F298" s="29">
        <f>+F281+F288+F296</f>
        <v>673.2819366527367</v>
      </c>
      <c r="G298" s="29">
        <f>+G281+G288+G296</f>
        <v>-79.477000000000999</v>
      </c>
      <c r="H298" s="12"/>
      <c r="I298" s="29">
        <f>+I281+I288+I296</f>
        <v>-5.3889999999998963</v>
      </c>
      <c r="J298" s="29">
        <f>+J281+J288+J296</f>
        <v>-593.81900000000053</v>
      </c>
      <c r="K298" s="15"/>
      <c r="L298" s="29">
        <f>+L281+L288+L296</f>
        <v>608.67256468966275</v>
      </c>
      <c r="M298" s="29">
        <f>+M281+M288+M296</f>
        <v>-303.47317105572483</v>
      </c>
    </row>
    <row r="299" spans="2:13" ht="15.75" customHeight="1" x14ac:dyDescent="0.25">
      <c r="C299" s="59"/>
      <c r="D299" s="59"/>
      <c r="E299" s="6"/>
      <c r="F299" s="32"/>
      <c r="G299" s="1"/>
      <c r="H299" s="15"/>
      <c r="I299" s="1"/>
      <c r="J299" s="1"/>
      <c r="K299" s="15"/>
      <c r="L299" s="32"/>
      <c r="M299" s="32"/>
    </row>
    <row r="300" spans="2:13" ht="15.75" customHeight="1" x14ac:dyDescent="0.25">
      <c r="B300" s="17" t="s">
        <v>191</v>
      </c>
      <c r="C300" s="58"/>
      <c r="D300" s="58"/>
      <c r="E300" s="57"/>
      <c r="F300" s="60">
        <f>+'Nynas Group_Quarterly overview'!S285</f>
        <v>558.49245698120183</v>
      </c>
      <c r="G300" s="60">
        <f>+'Nynas Group_Quarterly overview'!T285</f>
        <v>734.12982894427671</v>
      </c>
      <c r="H300" s="15"/>
      <c r="I300" s="60">
        <f>+'Nynas Group_Quarterly overview'!Y285</f>
        <v>1254.793393633938</v>
      </c>
      <c r="J300" s="60">
        <f>+'Nynas Group_Quarterly overview'!Z285</f>
        <v>1229.5238289442764</v>
      </c>
      <c r="K300" s="15"/>
      <c r="L300" s="60">
        <f>+'Nynas Group_Quarterly overview'!V285</f>
        <v>645.7928289442757</v>
      </c>
      <c r="M300" s="60">
        <f>+'Nynas Group_Quarterly overview'!W285</f>
        <v>1013.4140000000003</v>
      </c>
    </row>
    <row r="301" spans="2:13" ht="15.75" customHeight="1" x14ac:dyDescent="0.25">
      <c r="B301" s="5" t="s">
        <v>192</v>
      </c>
      <c r="C301" s="59"/>
      <c r="D301" s="59"/>
      <c r="E301" s="61"/>
      <c r="F301" s="1">
        <f>+'Nynas Group_Quarterly overview'!S286</f>
        <v>-2.9819999999999993</v>
      </c>
      <c r="G301" s="1">
        <f>+'Nynas Group_Quarterly overview'!T286</f>
        <v>-8.8600000000000012</v>
      </c>
      <c r="H301" s="15"/>
      <c r="I301" s="1">
        <f>+'Nynas Group_Quarterly overview'!Y286</f>
        <v>-20.611999999999998</v>
      </c>
      <c r="J301" s="1">
        <f>+'Nynas Group_Quarterly overview'!Z286</f>
        <v>10.087999999999999</v>
      </c>
      <c r="K301" s="15"/>
      <c r="L301" s="1">
        <f>+'Nynas Group_Quarterly overview'!V286</f>
        <v>-25.672999999999998</v>
      </c>
      <c r="M301" s="1">
        <f>+'Nynas Group_Quarterly overview'!W286</f>
        <v>-64.147999999999996</v>
      </c>
    </row>
    <row r="302" spans="2:13" ht="15.75" customHeight="1" x14ac:dyDescent="0.25">
      <c r="B302" s="17" t="s">
        <v>193</v>
      </c>
      <c r="C302" s="58"/>
      <c r="D302" s="58"/>
      <c r="E302" s="62">
        <v>20</v>
      </c>
      <c r="F302" s="29">
        <f>SUM(F298:F301)</f>
        <v>1228.7923936339384</v>
      </c>
      <c r="G302" s="29">
        <f>SUM(G298:G301)</f>
        <v>645.7928289442757</v>
      </c>
      <c r="H302" s="15"/>
      <c r="I302" s="29">
        <f>SUM(I298:I301)</f>
        <v>1228.792393633938</v>
      </c>
      <c r="J302" s="29">
        <f>SUM(J298:J301)</f>
        <v>645.79282894427581</v>
      </c>
      <c r="K302" s="15"/>
      <c r="L302" s="29">
        <f>SUM(L298:L301)</f>
        <v>1228.7923936339384</v>
      </c>
      <c r="M302" s="29">
        <f>SUM(M298:M301)</f>
        <v>645.79282894427547</v>
      </c>
    </row>
    <row r="303" spans="2:13" ht="15.75" customHeight="1" x14ac:dyDescent="0.25">
      <c r="C303" s="59"/>
      <c r="D303" s="59"/>
      <c r="E303" s="35"/>
      <c r="F303" s="7"/>
      <c r="G303" s="7"/>
      <c r="I303" s="42"/>
      <c r="J303" s="42"/>
    </row>
    <row r="304" spans="2:13" ht="15.75" customHeight="1" x14ac:dyDescent="0.25">
      <c r="C304" s="59"/>
      <c r="D304" s="59"/>
      <c r="E304" s="56"/>
      <c r="F304" s="7"/>
      <c r="G304" s="7"/>
      <c r="I304" s="42"/>
      <c r="J304" s="42"/>
    </row>
    <row r="305" spans="2:16" ht="24.75" thickBot="1" x14ac:dyDescent="0.45">
      <c r="B305" s="21" t="s">
        <v>194</v>
      </c>
      <c r="C305" s="22"/>
      <c r="D305" s="23"/>
      <c r="E305" s="23"/>
      <c r="F305" s="23"/>
      <c r="G305" s="23"/>
      <c r="H305" s="23"/>
      <c r="I305" s="23"/>
      <c r="J305" s="24"/>
      <c r="K305" s="24"/>
      <c r="L305" s="24"/>
      <c r="M305" s="24"/>
    </row>
    <row r="306" spans="2:16" ht="15.75" customHeight="1" x14ac:dyDescent="0.25">
      <c r="B306" s="7"/>
      <c r="E306" s="59"/>
      <c r="F306" s="109" t="str">
        <f>+$F$5</f>
        <v>Q2</v>
      </c>
      <c r="G306" s="109" t="str">
        <f>+$G$5</f>
        <v>Q2</v>
      </c>
      <c r="H306" s="11"/>
      <c r="I306" s="109" t="str">
        <f>+$F$5</f>
        <v>Q2</v>
      </c>
      <c r="J306" s="109" t="str">
        <f>+$G$5</f>
        <v>Q2</v>
      </c>
      <c r="K306" s="110"/>
      <c r="L306" s="109" t="str">
        <f>+$L$5</f>
        <v>LTM</v>
      </c>
      <c r="M306" s="109" t="str">
        <f>+$M$5</f>
        <v>LTM</v>
      </c>
    </row>
    <row r="307" spans="2:16" ht="16.5" customHeight="1" x14ac:dyDescent="0.25">
      <c r="B307" s="7"/>
      <c r="E307" s="59"/>
      <c r="F307" s="107" t="str">
        <f>+F$6</f>
        <v>Q2 2025</v>
      </c>
      <c r="G307" s="107" t="str">
        <f>+G$6</f>
        <v>Q2 2024</v>
      </c>
      <c r="I307" s="106">
        <f>+I$6</f>
        <v>2025</v>
      </c>
      <c r="J307" s="106">
        <f>+J$6</f>
        <v>2024</v>
      </c>
      <c r="K307" s="7"/>
      <c r="L307" s="108">
        <f>+L$6</f>
        <v>2025</v>
      </c>
      <c r="M307" s="108">
        <f>+M$6</f>
        <v>2024</v>
      </c>
    </row>
    <row r="308" spans="2:16" ht="15.75" customHeight="1" x14ac:dyDescent="0.25">
      <c r="B308" s="5" t="s">
        <v>195</v>
      </c>
      <c r="C308" s="7"/>
      <c r="D308" s="7"/>
      <c r="E308" s="59"/>
      <c r="F308" s="1">
        <f>+'Nynas Group_Quarterly overview'!S293</f>
        <v>53.775999999999996</v>
      </c>
      <c r="G308" s="1">
        <f>+'Nynas Group_Quarterly overview'!T293</f>
        <v>130.82180959414498</v>
      </c>
      <c r="I308" s="1">
        <f>+'Nynas Group_Quarterly overview'!Y293</f>
        <v>176.928</v>
      </c>
      <c r="J308" s="1">
        <f>+'Nynas Group_Quarterly overview'!Z293</f>
        <v>245.25986128700001</v>
      </c>
      <c r="K308" s="7"/>
      <c r="L308" s="1">
        <f>+'Nynas Group_Quarterly overview'!V293</f>
        <v>523.14467675461196</v>
      </c>
      <c r="M308" s="1">
        <f>+'Nynas Group_Quarterly overview'!W293</f>
        <v>494.01860338806699</v>
      </c>
    </row>
    <row r="309" spans="2:16" ht="15.75" customHeight="1" x14ac:dyDescent="0.25">
      <c r="B309" s="5" t="s">
        <v>196</v>
      </c>
      <c r="C309" s="7"/>
      <c r="D309" s="7"/>
      <c r="E309" s="59"/>
      <c r="F309" s="1">
        <f>+'Nynas Group_Quarterly overview'!S294</f>
        <v>-4.7930000000000001</v>
      </c>
      <c r="G309" s="1">
        <f>+'Nynas Group_Quarterly overview'!T294</f>
        <v>8.9328418282630171</v>
      </c>
      <c r="I309" s="1">
        <f>+'Nynas Group_Quarterly overview'!Y294</f>
        <v>-4.2859999999999996</v>
      </c>
      <c r="J309" s="1">
        <f>+'Nynas Group_Quarterly overview'!Z294</f>
        <v>7.0664648451809828</v>
      </c>
      <c r="K309" s="7"/>
      <c r="L309" s="1">
        <f>+'Nynas Group_Quarterly overview'!V294</f>
        <v>113.29053515481903</v>
      </c>
      <c r="M309" s="1">
        <f>+'Nynas Group_Quarterly overview'!W294</f>
        <v>123.47771615767364</v>
      </c>
    </row>
    <row r="310" spans="2:16" ht="15.75" customHeight="1" x14ac:dyDescent="0.25">
      <c r="B310" s="5" t="s">
        <v>197</v>
      </c>
      <c r="C310" s="7"/>
      <c r="D310" s="7"/>
      <c r="F310" s="1">
        <f>+'Nynas Group_Quarterly overview'!S295</f>
        <v>-4.1850000000000023</v>
      </c>
      <c r="G310" s="1">
        <f>+'Nynas Group_Quarterly overview'!T295</f>
        <v>-57.473999999999997</v>
      </c>
      <c r="H310" s="15"/>
      <c r="I310" s="1">
        <f>+'Nynas Group_Quarterly overview'!Y295</f>
        <v>41.923999999999999</v>
      </c>
      <c r="J310" s="1">
        <f>+'Nynas Group_Quarterly overview'!Z295</f>
        <v>-80.811999999999998</v>
      </c>
      <c r="L310" s="1">
        <f>+'Nynas Group_Quarterly overview'!V295</f>
        <v>92.99799999999999</v>
      </c>
      <c r="M310" s="1">
        <f>+'Nynas Group_Quarterly overview'!W295</f>
        <v>151.12800000000004</v>
      </c>
    </row>
    <row r="311" spans="2:16" ht="15.75" customHeight="1" x14ac:dyDescent="0.25">
      <c r="B311" s="5" t="s">
        <v>198</v>
      </c>
      <c r="C311" s="7"/>
      <c r="D311" s="7"/>
      <c r="E311" s="7"/>
      <c r="F311" s="1">
        <f>+'Nynas Group_Quarterly overview'!S296</f>
        <v>30.963999999999999</v>
      </c>
      <c r="G311" s="1">
        <f>+'Nynas Group_Quarterly overview'!T296</f>
        <v>36.972000000000001</v>
      </c>
      <c r="I311" s="1">
        <f>+'Nynas Group_Quarterly overview'!Y296</f>
        <v>121.1</v>
      </c>
      <c r="J311" s="1">
        <f>+'Nynas Group_Quarterly overview'!Z296</f>
        <v>11.317</v>
      </c>
      <c r="L311" s="1">
        <f>+'Nynas Group_Quarterly overview'!V296</f>
        <v>121.42099999999999</v>
      </c>
      <c r="M311" s="1">
        <f>+'Nynas Group_Quarterly overview'!W296</f>
        <v>157.28700000000001</v>
      </c>
    </row>
    <row r="312" spans="2:16" ht="15.75" customHeight="1" x14ac:dyDescent="0.25">
      <c r="B312" s="5" t="s">
        <v>199</v>
      </c>
      <c r="C312" s="7"/>
      <c r="D312" s="7"/>
      <c r="E312" s="7"/>
      <c r="F312" s="1">
        <f>+'Nynas Group_Quarterly overview'!S297</f>
        <v>129.49800000000002</v>
      </c>
      <c r="G312" s="1">
        <f>+'Nynas Group_Quarterly overview'!T297</f>
        <v>32.756999999999991</v>
      </c>
      <c r="I312" s="1">
        <f>+'Nynas Group_Quarterly overview'!Y297</f>
        <v>141.89500000000001</v>
      </c>
      <c r="J312" s="1">
        <f>+'Nynas Group_Quarterly overview'!Z297</f>
        <v>133.96899999999999</v>
      </c>
      <c r="L312" s="1">
        <f>+'Nynas Group_Quarterly overview'!V297</f>
        <v>132.59900000000002</v>
      </c>
      <c r="M312" s="1">
        <f>+'Nynas Group_Quarterly overview'!W297</f>
        <v>70.679999999999993</v>
      </c>
    </row>
    <row r="313" spans="2:16" ht="15.75" customHeight="1" x14ac:dyDescent="0.25">
      <c r="B313" s="5" t="s">
        <v>200</v>
      </c>
      <c r="C313" s="7"/>
      <c r="D313" s="7"/>
      <c r="E313" s="7"/>
      <c r="F313" s="1">
        <f>+'Nynas Group_Quarterly overview'!S298</f>
        <v>-3.2870000000000008</v>
      </c>
      <c r="G313" s="1">
        <f>+'Nynas Group_Quarterly overview'!T298</f>
        <v>-64.319999999999993</v>
      </c>
      <c r="I313" s="1">
        <f>+'Nynas Group_Quarterly overview'!Y298</f>
        <v>-12.787000000000001</v>
      </c>
      <c r="J313" s="1">
        <f>+'Nynas Group_Quarterly overview'!Z298</f>
        <v>-234.58099999999999</v>
      </c>
      <c r="L313" s="1">
        <f>+'Nynas Group_Quarterly overview'!V298</f>
        <v>-0.67300000000000537</v>
      </c>
      <c r="M313" s="1">
        <f>+'Nynas Group_Quarterly overview'!W298</f>
        <v>-16.963000000000022</v>
      </c>
    </row>
    <row r="314" spans="2:16" ht="15.75" customHeight="1" x14ac:dyDescent="0.25">
      <c r="B314" s="5" t="s">
        <v>201</v>
      </c>
      <c r="C314" s="7"/>
      <c r="D314" s="7"/>
      <c r="E314" s="7"/>
      <c r="F314" s="1">
        <f>+'Nynas Group_Quarterly overview'!S299</f>
        <v>0</v>
      </c>
      <c r="G314" s="1">
        <f>+'Nynas Group_Quarterly overview'!T299</f>
        <v>0</v>
      </c>
      <c r="I314" s="1">
        <f>+'Nynas Group_Quarterly overview'!Y299</f>
        <v>0</v>
      </c>
      <c r="J314" s="1">
        <f>+'Nynas Group_Quarterly overview'!Z299</f>
        <v>0</v>
      </c>
      <c r="L314" s="1">
        <f>+'Nynas Group_Quarterly overview'!V299</f>
        <v>-16.905999999999999</v>
      </c>
      <c r="M314" s="1">
        <f>+'Nynas Group_Quarterly overview'!W299</f>
        <v>-30.789000000000001</v>
      </c>
    </row>
    <row r="315" spans="2:16" s="42" customFormat="1" x14ac:dyDescent="0.25">
      <c r="B315" s="27" t="s">
        <v>202</v>
      </c>
      <c r="C315" s="27"/>
      <c r="D315" s="27"/>
      <c r="E315" s="7"/>
      <c r="F315" s="29">
        <f>SUM(F308:F314)</f>
        <v>201.97300000000001</v>
      </c>
      <c r="G315" s="29">
        <f>SUM(G308:G314)</f>
        <v>87.689651422408019</v>
      </c>
      <c r="H315" s="5"/>
      <c r="I315" s="29">
        <f>SUM(I308:I314)</f>
        <v>464.77400000000006</v>
      </c>
      <c r="J315" s="29">
        <f>SUM(J308:J314)</f>
        <v>82.21932613218101</v>
      </c>
      <c r="K315" s="5"/>
      <c r="L315" s="29">
        <f>SUM(L308:L314)</f>
        <v>965.87421190943121</v>
      </c>
      <c r="M315" s="29">
        <f>SUM(M308:M314)</f>
        <v>948.83931954574064</v>
      </c>
      <c r="N315" s="5"/>
      <c r="O315" s="5"/>
      <c r="P315" s="5"/>
    </row>
    <row r="316" spans="2:16" s="42" customFormat="1" x14ac:dyDescent="0.25">
      <c r="B316" s="5"/>
      <c r="C316" s="7"/>
      <c r="D316" s="7"/>
      <c r="E316" s="7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2:16" s="42" customFormat="1" ht="13.5" x14ac:dyDescent="0.25"/>
    <row r="318" spans="2:16" s="42" customFormat="1" ht="13.5" x14ac:dyDescent="0.25">
      <c r="F318" s="98"/>
      <c r="G318" s="98"/>
      <c r="I318" s="98"/>
      <c r="J318" s="98"/>
      <c r="L318" s="98"/>
    </row>
    <row r="319" spans="2:16" s="42" customFormat="1" ht="13.5" x14ac:dyDescent="0.25"/>
    <row r="320" spans="2:16" s="42" customFormat="1" ht="13.5" x14ac:dyDescent="0.25"/>
    <row r="321" s="42" customFormat="1" ht="13.5" x14ac:dyDescent="0.25"/>
    <row r="322" s="42" customFormat="1" ht="13.5" x14ac:dyDescent="0.25"/>
    <row r="323" s="42" customFormat="1" ht="13.5" x14ac:dyDescent="0.25"/>
    <row r="324" s="42" customFormat="1" ht="13.5" x14ac:dyDescent="0.25"/>
    <row r="325" s="42" customFormat="1" ht="13.5" x14ac:dyDescent="0.25"/>
    <row r="326" s="42" customFormat="1" ht="13.5" x14ac:dyDescent="0.25"/>
    <row r="327" s="42" customFormat="1" ht="13.5" x14ac:dyDescent="0.25"/>
    <row r="328" s="42" customFormat="1" ht="13.5" x14ac:dyDescent="0.25"/>
    <row r="329" s="42" customFormat="1" ht="13.5" x14ac:dyDescent="0.25"/>
    <row r="330" s="42" customFormat="1" ht="13.5" x14ac:dyDescent="0.25"/>
    <row r="331" s="42" customFormat="1" ht="13.5" x14ac:dyDescent="0.25"/>
    <row r="332" s="42" customFormat="1" ht="13.5" x14ac:dyDescent="0.25"/>
    <row r="333" s="42" customFormat="1" ht="13.5" x14ac:dyDescent="0.25"/>
    <row r="334" s="42" customFormat="1" ht="13.5" x14ac:dyDescent="0.25"/>
    <row r="335" s="42" customFormat="1" ht="13.5" x14ac:dyDescent="0.25"/>
    <row r="336" s="42" customFormat="1" ht="13.5" x14ac:dyDescent="0.25"/>
    <row r="337" s="42" customFormat="1" ht="13.5" x14ac:dyDescent="0.25"/>
    <row r="338" s="42" customFormat="1" ht="13.5" x14ac:dyDescent="0.25"/>
    <row r="339" s="42" customFormat="1" ht="13.5" x14ac:dyDescent="0.25"/>
    <row r="340" s="42" customFormat="1" ht="13.5" x14ac:dyDescent="0.25"/>
    <row r="341" s="42" customFormat="1" ht="13.5" x14ac:dyDescent="0.25"/>
    <row r="342" s="42" customFormat="1" ht="13.5" x14ac:dyDescent="0.25"/>
    <row r="343" s="42" customFormat="1" ht="13.5" x14ac:dyDescent="0.25"/>
    <row r="344" s="42" customFormat="1" ht="13.5" x14ac:dyDescent="0.25"/>
    <row r="345" s="42" customFormat="1" ht="13.5" x14ac:dyDescent="0.25"/>
    <row r="346" s="42" customFormat="1" ht="13.5" x14ac:dyDescent="0.25"/>
    <row r="347" s="42" customFormat="1" ht="13.5" x14ac:dyDescent="0.25"/>
    <row r="348" s="42" customFormat="1" ht="13.5" x14ac:dyDescent="0.25"/>
    <row r="349" s="42" customFormat="1" ht="13.5" x14ac:dyDescent="0.25"/>
    <row r="350" s="42" customFormat="1" ht="13.5" x14ac:dyDescent="0.25"/>
    <row r="351" s="42" customFormat="1" ht="13.5" x14ac:dyDescent="0.25"/>
    <row r="352" s="42" customFormat="1" ht="13.5" x14ac:dyDescent="0.25"/>
    <row r="353" s="42" customFormat="1" ht="13.5" x14ac:dyDescent="0.25"/>
    <row r="354" s="42" customFormat="1" ht="13.5" x14ac:dyDescent="0.25"/>
    <row r="355" s="42" customFormat="1" ht="13.5" x14ac:dyDescent="0.25"/>
    <row r="356" s="42" customFormat="1" ht="13.5" x14ac:dyDescent="0.25"/>
    <row r="357" s="42" customFormat="1" ht="13.5" x14ac:dyDescent="0.25"/>
    <row r="358" s="42" customFormat="1" ht="13.5" x14ac:dyDescent="0.25"/>
    <row r="359" s="42" customFormat="1" ht="13.5" x14ac:dyDescent="0.25"/>
    <row r="360" s="42" customFormat="1" ht="13.5" x14ac:dyDescent="0.25"/>
    <row r="361" s="42" customFormat="1" ht="13.5" x14ac:dyDescent="0.25"/>
    <row r="362" s="42" customFormat="1" ht="13.5" x14ac:dyDescent="0.25"/>
    <row r="363" s="42" customFormat="1" ht="13.5" x14ac:dyDescent="0.25"/>
    <row r="364" s="42" customFormat="1" ht="13.5" x14ac:dyDescent="0.25"/>
    <row r="365" s="42" customFormat="1" ht="13.5" x14ac:dyDescent="0.25"/>
    <row r="366" s="42" customFormat="1" ht="13.5" x14ac:dyDescent="0.25"/>
    <row r="367" s="42" customFormat="1" ht="13.5" x14ac:dyDescent="0.25"/>
    <row r="368" s="42" customFormat="1" ht="13.5" x14ac:dyDescent="0.25"/>
    <row r="369" s="42" customFormat="1" ht="13.5" x14ac:dyDescent="0.25"/>
    <row r="370" s="42" customFormat="1" ht="13.5" x14ac:dyDescent="0.25"/>
    <row r="371" s="42" customFormat="1" ht="13.5" x14ac:dyDescent="0.25"/>
    <row r="372" s="42" customFormat="1" ht="13.5" x14ac:dyDescent="0.25"/>
    <row r="373" s="42" customFormat="1" ht="13.5" x14ac:dyDescent="0.25"/>
    <row r="374" s="42" customFormat="1" ht="13.5" x14ac:dyDescent="0.25"/>
    <row r="375" s="42" customFormat="1" ht="13.5" x14ac:dyDescent="0.25"/>
    <row r="376" s="42" customFormat="1" ht="13.5" x14ac:dyDescent="0.25"/>
    <row r="377" s="42" customFormat="1" ht="13.5" x14ac:dyDescent="0.25"/>
    <row r="378" s="42" customFormat="1" ht="13.5" x14ac:dyDescent="0.25"/>
    <row r="379" s="42" customFormat="1" ht="13.5" x14ac:dyDescent="0.25"/>
    <row r="380" s="42" customFormat="1" ht="13.5" x14ac:dyDescent="0.25"/>
    <row r="381" s="42" customFormat="1" ht="13.5" x14ac:dyDescent="0.25"/>
    <row r="382" s="42" customFormat="1" ht="13.5" x14ac:dyDescent="0.25"/>
    <row r="383" s="42" customFormat="1" ht="13.5" x14ac:dyDescent="0.25"/>
    <row r="384" s="42" customFormat="1" ht="13.5" x14ac:dyDescent="0.25"/>
    <row r="385" s="42" customFormat="1" ht="13.5" x14ac:dyDescent="0.25"/>
    <row r="386" s="42" customFormat="1" ht="13.5" x14ac:dyDescent="0.25"/>
    <row r="387" s="42" customFormat="1" ht="13.5" x14ac:dyDescent="0.25"/>
    <row r="388" s="42" customFormat="1" ht="13.5" x14ac:dyDescent="0.25"/>
    <row r="389" s="42" customFormat="1" ht="13.5" x14ac:dyDescent="0.25"/>
    <row r="390" s="42" customFormat="1" ht="13.5" x14ac:dyDescent="0.25"/>
    <row r="391" s="42" customFormat="1" ht="13.5" x14ac:dyDescent="0.25"/>
    <row r="392" s="42" customFormat="1" ht="13.5" x14ac:dyDescent="0.25"/>
    <row r="393" s="42" customFormat="1" ht="13.5" x14ac:dyDescent="0.25"/>
    <row r="394" s="42" customFormat="1" ht="13.5" x14ac:dyDescent="0.25"/>
    <row r="395" s="42" customFormat="1" ht="13.5" x14ac:dyDescent="0.25"/>
    <row r="396" s="42" customFormat="1" ht="13.5" x14ac:dyDescent="0.25"/>
    <row r="397" s="42" customFormat="1" ht="13.5" x14ac:dyDescent="0.25"/>
    <row r="398" s="42" customFormat="1" ht="13.5" x14ac:dyDescent="0.25"/>
    <row r="399" s="42" customFormat="1" ht="13.5" x14ac:dyDescent="0.25"/>
    <row r="400" s="42" customFormat="1" ht="13.5" x14ac:dyDescent="0.25"/>
    <row r="401" s="42" customFormat="1" ht="13.5" x14ac:dyDescent="0.25"/>
    <row r="402" s="42" customFormat="1" ht="13.5" x14ac:dyDescent="0.25"/>
    <row r="403" s="42" customFormat="1" ht="13.5" x14ac:dyDescent="0.25"/>
    <row r="404" s="42" customFormat="1" ht="13.5" x14ac:dyDescent="0.25"/>
    <row r="405" s="42" customFormat="1" ht="13.5" x14ac:dyDescent="0.25"/>
    <row r="406" s="42" customFormat="1" ht="13.5" x14ac:dyDescent="0.25"/>
    <row r="407" s="42" customFormat="1" ht="13.5" x14ac:dyDescent="0.25"/>
    <row r="408" s="42" customFormat="1" ht="13.5" x14ac:dyDescent="0.25"/>
    <row r="409" s="42" customFormat="1" ht="13.5" x14ac:dyDescent="0.25"/>
    <row r="410" s="42" customFormat="1" ht="13.5" x14ac:dyDescent="0.25"/>
    <row r="411" s="42" customFormat="1" ht="13.5" x14ac:dyDescent="0.25"/>
    <row r="412" s="42" customFormat="1" ht="13.5" x14ac:dyDescent="0.25"/>
    <row r="413" s="42" customFormat="1" ht="13.5" x14ac:dyDescent="0.25"/>
    <row r="414" s="42" customFormat="1" ht="13.5" x14ac:dyDescent="0.25"/>
    <row r="415" s="42" customFormat="1" ht="13.5" x14ac:dyDescent="0.25"/>
    <row r="416" s="42" customFormat="1" ht="13.5" x14ac:dyDescent="0.25"/>
    <row r="417" s="42" customFormat="1" ht="13.5" x14ac:dyDescent="0.25"/>
    <row r="418" s="42" customFormat="1" ht="13.5" x14ac:dyDescent="0.25"/>
    <row r="419" s="42" customFormat="1" ht="13.5" x14ac:dyDescent="0.25"/>
    <row r="420" s="42" customFormat="1" ht="13.5" x14ac:dyDescent="0.25"/>
    <row r="421" s="42" customFormat="1" ht="13.5" x14ac:dyDescent="0.25"/>
    <row r="422" s="42" customFormat="1" ht="13.5" x14ac:dyDescent="0.25"/>
    <row r="423" s="42" customFormat="1" ht="13.5" x14ac:dyDescent="0.25"/>
    <row r="424" s="42" customFormat="1" ht="13.5" x14ac:dyDescent="0.25"/>
    <row r="425" s="42" customFormat="1" ht="13.5" x14ac:dyDescent="0.25"/>
    <row r="426" s="42" customFormat="1" ht="13.5" x14ac:dyDescent="0.25"/>
    <row r="427" s="42" customFormat="1" ht="13.5" x14ac:dyDescent="0.25"/>
    <row r="428" s="42" customFormat="1" ht="13.5" x14ac:dyDescent="0.25"/>
    <row r="429" s="42" customFormat="1" ht="13.5" x14ac:dyDescent="0.25"/>
    <row r="430" s="42" customFormat="1" ht="13.5" x14ac:dyDescent="0.25"/>
    <row r="431" s="42" customFormat="1" ht="13.5" x14ac:dyDescent="0.25"/>
    <row r="432" s="42" customFormat="1" ht="13.5" x14ac:dyDescent="0.25"/>
    <row r="433" s="42" customFormat="1" ht="13.5" x14ac:dyDescent="0.25"/>
    <row r="434" s="42" customFormat="1" ht="13.5" x14ac:dyDescent="0.25"/>
    <row r="435" s="42" customFormat="1" ht="13.5" x14ac:dyDescent="0.25"/>
    <row r="436" s="42" customFormat="1" ht="13.5" x14ac:dyDescent="0.25"/>
    <row r="437" s="42" customFormat="1" ht="13.5" x14ac:dyDescent="0.25"/>
    <row r="438" s="42" customFormat="1" ht="13.5" x14ac:dyDescent="0.25"/>
    <row r="439" s="42" customFormat="1" ht="13.5" x14ac:dyDescent="0.25"/>
    <row r="440" s="42" customFormat="1" ht="13.5" x14ac:dyDescent="0.25"/>
    <row r="441" s="42" customFormat="1" ht="13.5" x14ac:dyDescent="0.25"/>
    <row r="442" s="42" customFormat="1" ht="13.5" x14ac:dyDescent="0.25"/>
    <row r="443" s="42" customFormat="1" ht="13.5" x14ac:dyDescent="0.25"/>
    <row r="444" s="42" customFormat="1" ht="13.5" x14ac:dyDescent="0.25"/>
    <row r="445" s="42" customFormat="1" ht="13.5" x14ac:dyDescent="0.25"/>
    <row r="446" s="42" customFormat="1" ht="13.5" x14ac:dyDescent="0.25"/>
    <row r="447" s="42" customFormat="1" ht="13.5" x14ac:dyDescent="0.25"/>
    <row r="448" s="42" customFormat="1" ht="13.5" x14ac:dyDescent="0.25"/>
    <row r="449" spans="2:14" x14ac:dyDescent="0.25"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N449" s="42"/>
    </row>
    <row r="450" spans="2:14" x14ac:dyDescent="0.25"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N450" s="42"/>
    </row>
    <row r="451" spans="2:14" x14ac:dyDescent="0.25"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N451" s="42"/>
    </row>
    <row r="452" spans="2:14" x14ac:dyDescent="0.25">
      <c r="B452" s="42"/>
      <c r="C452" s="42"/>
      <c r="D452" s="42"/>
      <c r="E452" s="42"/>
      <c r="F452" s="42"/>
      <c r="G452" s="42"/>
      <c r="H452" s="42"/>
      <c r="I452" s="42"/>
      <c r="J452" s="42"/>
      <c r="K452" s="42"/>
    </row>
    <row r="453" spans="2:14" x14ac:dyDescent="0.25">
      <c r="B453" s="42"/>
      <c r="C453" s="42"/>
      <c r="D453" s="42"/>
      <c r="E453" s="42"/>
      <c r="F453" s="42"/>
      <c r="G453" s="42"/>
      <c r="H453" s="42"/>
      <c r="I453" s="42"/>
      <c r="J453" s="42"/>
      <c r="K453" s="42"/>
    </row>
    <row r="454" spans="2:14" x14ac:dyDescent="0.25">
      <c r="B454" s="42"/>
      <c r="C454" s="42"/>
      <c r="D454" s="42"/>
      <c r="E454" s="42"/>
      <c r="F454" s="42"/>
      <c r="G454" s="42"/>
      <c r="H454" s="42"/>
      <c r="I454" s="42"/>
      <c r="J454" s="42"/>
    </row>
    <row r="455" spans="2:14" x14ac:dyDescent="0.25">
      <c r="B455" s="42"/>
      <c r="C455" s="42"/>
      <c r="D455" s="42"/>
      <c r="E455" s="42"/>
      <c r="F455" s="42"/>
      <c r="G455" s="42"/>
      <c r="H455" s="42"/>
      <c r="I455" s="42"/>
      <c r="J455" s="42"/>
    </row>
    <row r="456" spans="2:14" x14ac:dyDescent="0.25">
      <c r="B456" s="42"/>
      <c r="C456" s="42"/>
      <c r="D456" s="42"/>
      <c r="E456" s="42"/>
      <c r="F456" s="42"/>
      <c r="G456" s="42"/>
      <c r="H456" s="42"/>
      <c r="I456" s="42"/>
      <c r="J456" s="42"/>
    </row>
    <row r="457" spans="2:14" x14ac:dyDescent="0.25">
      <c r="B457" s="42"/>
      <c r="C457" s="42"/>
      <c r="D457" s="42"/>
      <c r="E457" s="42"/>
      <c r="F457" s="42"/>
      <c r="G457" s="42"/>
      <c r="H457" s="42"/>
      <c r="I457" s="42"/>
      <c r="J457" s="42"/>
    </row>
    <row r="458" spans="2:14" x14ac:dyDescent="0.25">
      <c r="B458" s="42"/>
      <c r="C458" s="42"/>
      <c r="D458" s="42"/>
      <c r="E458" s="42"/>
      <c r="F458" s="42"/>
      <c r="G458" s="42"/>
      <c r="H458" s="42"/>
      <c r="I458" s="42"/>
      <c r="J458" s="42"/>
    </row>
    <row r="459" spans="2:14" x14ac:dyDescent="0.25">
      <c r="B459" s="42"/>
      <c r="C459" s="42"/>
      <c r="D459" s="42"/>
      <c r="E459" s="42"/>
      <c r="F459" s="42"/>
      <c r="G459" s="42"/>
      <c r="H459" s="42"/>
      <c r="I459" s="42"/>
      <c r="J459" s="42"/>
    </row>
    <row r="460" spans="2:14" x14ac:dyDescent="0.25">
      <c r="B460" s="42"/>
      <c r="C460" s="42"/>
      <c r="D460" s="42"/>
      <c r="E460" s="42"/>
      <c r="F460" s="42"/>
      <c r="G460" s="42"/>
      <c r="H460" s="42"/>
      <c r="I460" s="42"/>
      <c r="J460" s="42"/>
    </row>
    <row r="461" spans="2:14" x14ac:dyDescent="0.25">
      <c r="B461" s="42"/>
      <c r="C461" s="42"/>
      <c r="D461" s="42"/>
      <c r="E461" s="42"/>
      <c r="F461" s="42"/>
      <c r="G461" s="42"/>
      <c r="H461" s="42"/>
      <c r="I461" s="42"/>
      <c r="J461" s="42"/>
    </row>
    <row r="462" spans="2:14" x14ac:dyDescent="0.25">
      <c r="B462" s="42"/>
      <c r="C462" s="42"/>
      <c r="D462" s="42"/>
      <c r="E462" s="42"/>
      <c r="F462" s="42"/>
      <c r="G462" s="42"/>
      <c r="H462" s="42"/>
      <c r="I462" s="42"/>
      <c r="J462" s="42"/>
    </row>
    <row r="463" spans="2:14" x14ac:dyDescent="0.25">
      <c r="B463" s="42"/>
      <c r="C463" s="42"/>
      <c r="D463" s="42"/>
      <c r="E463" s="42"/>
      <c r="F463" s="42"/>
      <c r="G463" s="42"/>
      <c r="H463" s="42"/>
      <c r="I463" s="42"/>
      <c r="J463" s="42"/>
    </row>
    <row r="464" spans="2:14" x14ac:dyDescent="0.25">
      <c r="B464" s="42"/>
      <c r="C464" s="42"/>
      <c r="D464" s="42"/>
      <c r="E464" s="42"/>
      <c r="F464" s="42"/>
      <c r="G464" s="42"/>
      <c r="H464" s="42"/>
      <c r="I464" s="42"/>
      <c r="J464" s="42"/>
    </row>
    <row r="465" spans="2:10" x14ac:dyDescent="0.25">
      <c r="B465" s="42"/>
      <c r="C465" s="42"/>
      <c r="D465" s="42"/>
      <c r="E465" s="42"/>
      <c r="F465" s="42"/>
      <c r="G465" s="42"/>
      <c r="H465" s="42"/>
      <c r="I465" s="42"/>
      <c r="J465" s="42"/>
    </row>
    <row r="466" spans="2:10" x14ac:dyDescent="0.25">
      <c r="B466" s="42"/>
      <c r="C466" s="42"/>
      <c r="D466" s="42"/>
      <c r="E466" s="42"/>
      <c r="F466" s="42"/>
      <c r="G466" s="42"/>
      <c r="H466" s="42"/>
      <c r="I466" s="42"/>
      <c r="J466" s="42"/>
    </row>
    <row r="467" spans="2:10" x14ac:dyDescent="0.25">
      <c r="B467" s="42"/>
      <c r="C467" s="42"/>
      <c r="D467" s="42"/>
      <c r="E467" s="42"/>
      <c r="F467" s="42"/>
      <c r="G467" s="42"/>
      <c r="H467" s="42"/>
      <c r="I467" s="42"/>
      <c r="J467" s="42"/>
    </row>
    <row r="468" spans="2:10" x14ac:dyDescent="0.25">
      <c r="B468" s="42"/>
      <c r="C468" s="42"/>
      <c r="D468" s="42"/>
      <c r="E468" s="42"/>
      <c r="F468" s="42"/>
      <c r="G468" s="42"/>
      <c r="H468" s="42"/>
      <c r="I468" s="42"/>
      <c r="J468" s="42"/>
    </row>
    <row r="469" spans="2:10" x14ac:dyDescent="0.25">
      <c r="B469" s="42"/>
      <c r="C469" s="42"/>
      <c r="D469" s="42"/>
      <c r="E469" s="42"/>
      <c r="F469" s="42"/>
      <c r="G469" s="42"/>
      <c r="H469" s="42"/>
      <c r="I469" s="42"/>
      <c r="J469" s="42"/>
    </row>
    <row r="470" spans="2:10" x14ac:dyDescent="0.25">
      <c r="B470" s="42"/>
      <c r="C470" s="42"/>
      <c r="D470" s="42"/>
      <c r="E470" s="42"/>
      <c r="F470" s="42"/>
      <c r="G470" s="42"/>
      <c r="H470" s="42"/>
      <c r="I470" s="42"/>
      <c r="J470" s="42"/>
    </row>
    <row r="471" spans="2:10" x14ac:dyDescent="0.25">
      <c r="B471" s="42"/>
      <c r="C471" s="42"/>
      <c r="D471" s="42"/>
      <c r="E471" s="42"/>
      <c r="F471" s="42"/>
      <c r="G471" s="42"/>
      <c r="H471" s="42"/>
      <c r="I471" s="42"/>
      <c r="J471" s="42"/>
    </row>
    <row r="472" spans="2:10" x14ac:dyDescent="0.25">
      <c r="B472" s="42"/>
      <c r="C472" s="42"/>
      <c r="D472" s="42"/>
      <c r="E472" s="42"/>
      <c r="F472" s="42"/>
      <c r="G472" s="42"/>
      <c r="H472" s="42"/>
      <c r="I472" s="42"/>
      <c r="J472" s="42"/>
    </row>
    <row r="473" spans="2:10" x14ac:dyDescent="0.25">
      <c r="B473" s="42"/>
      <c r="C473" s="42"/>
      <c r="D473" s="42"/>
      <c r="E473" s="42"/>
      <c r="F473" s="42"/>
      <c r="G473" s="42"/>
      <c r="H473" s="42"/>
      <c r="I473" s="42"/>
      <c r="J473" s="42"/>
    </row>
    <row r="474" spans="2:10" x14ac:dyDescent="0.25">
      <c r="B474" s="42"/>
      <c r="C474" s="42"/>
      <c r="D474" s="42"/>
      <c r="E474" s="42"/>
      <c r="F474" s="42"/>
      <c r="G474" s="42"/>
      <c r="H474" s="42"/>
      <c r="I474" s="42"/>
      <c r="J474" s="42"/>
    </row>
    <row r="475" spans="2:10" x14ac:dyDescent="0.25">
      <c r="B475" s="42"/>
      <c r="C475" s="42"/>
      <c r="D475" s="42"/>
      <c r="E475" s="42"/>
      <c r="F475" s="42"/>
      <c r="G475" s="42"/>
      <c r="H475" s="42"/>
      <c r="I475" s="42"/>
      <c r="J475" s="42"/>
    </row>
    <row r="476" spans="2:10" x14ac:dyDescent="0.25">
      <c r="B476" s="42"/>
      <c r="C476" s="42"/>
      <c r="D476" s="42"/>
      <c r="E476" s="42"/>
      <c r="F476" s="42"/>
      <c r="G476" s="42"/>
      <c r="H476" s="42"/>
      <c r="I476" s="42"/>
      <c r="J476" s="42"/>
    </row>
    <row r="477" spans="2:10" x14ac:dyDescent="0.25">
      <c r="B477" s="42"/>
      <c r="C477" s="42"/>
      <c r="D477" s="42"/>
      <c r="E477" s="42"/>
      <c r="F477" s="42"/>
      <c r="G477" s="42"/>
      <c r="H477" s="42"/>
      <c r="I477" s="42"/>
      <c r="J477" s="42"/>
    </row>
    <row r="478" spans="2:10" x14ac:dyDescent="0.25">
      <c r="B478" s="42"/>
      <c r="C478" s="42"/>
      <c r="D478" s="42"/>
      <c r="E478" s="42"/>
      <c r="F478" s="42"/>
      <c r="G478" s="42"/>
      <c r="H478" s="42"/>
      <c r="I478" s="42"/>
      <c r="J478" s="42"/>
    </row>
    <row r="479" spans="2:10" x14ac:dyDescent="0.25">
      <c r="B479" s="42"/>
      <c r="C479" s="42"/>
      <c r="D479" s="42"/>
      <c r="E479" s="42"/>
      <c r="F479" s="42"/>
      <c r="G479" s="42"/>
      <c r="H479" s="42"/>
      <c r="I479" s="42"/>
      <c r="J479" s="42"/>
    </row>
    <row r="480" spans="2:10" x14ac:dyDescent="0.25">
      <c r="B480" s="42"/>
      <c r="C480" s="42"/>
      <c r="D480" s="42"/>
      <c r="E480" s="42"/>
      <c r="F480" s="42"/>
      <c r="G480" s="42"/>
      <c r="H480" s="42"/>
      <c r="I480" s="42"/>
      <c r="J480" s="42"/>
    </row>
    <row r="481" spans="2:10" x14ac:dyDescent="0.25">
      <c r="B481" s="42"/>
      <c r="C481" s="42"/>
      <c r="D481" s="42"/>
      <c r="E481" s="42"/>
      <c r="F481" s="42"/>
      <c r="G481" s="42"/>
      <c r="H481" s="42"/>
      <c r="I481" s="42"/>
      <c r="J481" s="42"/>
    </row>
    <row r="482" spans="2:10" x14ac:dyDescent="0.25">
      <c r="B482" s="42"/>
      <c r="C482" s="42"/>
      <c r="D482" s="42"/>
      <c r="E482" s="42"/>
      <c r="F482" s="42"/>
      <c r="G482" s="42"/>
      <c r="H482" s="42"/>
      <c r="I482" s="42"/>
      <c r="J482" s="42"/>
    </row>
    <row r="483" spans="2:10" x14ac:dyDescent="0.25">
      <c r="B483" s="42"/>
      <c r="C483" s="42"/>
      <c r="D483" s="42"/>
      <c r="E483" s="42"/>
      <c r="F483" s="42"/>
      <c r="G483" s="42"/>
      <c r="H483" s="42"/>
      <c r="I483" s="42"/>
      <c r="J483" s="42"/>
    </row>
    <row r="484" spans="2:10" x14ac:dyDescent="0.25">
      <c r="B484" s="42"/>
      <c r="C484" s="42"/>
      <c r="D484" s="42"/>
      <c r="E484" s="42"/>
      <c r="F484" s="42"/>
      <c r="G484" s="42"/>
      <c r="H484" s="42"/>
      <c r="I484" s="42"/>
      <c r="J484" s="42"/>
    </row>
    <row r="485" spans="2:10" x14ac:dyDescent="0.25">
      <c r="E485" s="42"/>
    </row>
    <row r="486" spans="2:10" x14ac:dyDescent="0.25">
      <c r="E486" s="42"/>
    </row>
  </sheetData>
  <mergeCells count="4">
    <mergeCell ref="F169:G169"/>
    <mergeCell ref="F212:G212"/>
    <mergeCell ref="F264:G264"/>
    <mergeCell ref="I4:J4"/>
  </mergeCells>
  <pageMargins left="0.55118110236220474" right="0.15748031496062992" top="0.59055118110236227" bottom="0.19685039370078741" header="0.11811023622047245" footer="0.11811023622047245"/>
  <pageSetup paperSize="9" scale="52" fitToHeight="0" orientation="portrait" useFirstPageNumber="1" horizontalDpi="200" verticalDpi="200" r:id="rId1"/>
  <headerFooter alignWithMargins="0">
    <oddFooter>&amp;RNynas AB (publ)
Org nr 556029-2509
&amp;P</oddFooter>
  </headerFooter>
  <rowBreaks count="4" manualBreakCount="4">
    <brk id="114" max="16383" man="1"/>
    <brk id="165" max="16383" man="1"/>
    <brk id="208" max="16383" man="1"/>
    <brk id="261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6468-12B0-45C8-AE6A-01E92653C975}">
  <sheetPr>
    <pageSetUpPr fitToPage="1"/>
  </sheetPr>
  <dimension ref="B1:AF300"/>
  <sheetViews>
    <sheetView showGridLines="0" tabSelected="1" zoomScaleNormal="100" workbookViewId="0">
      <pane xSplit="3" ySplit="7" topLeftCell="D8" activePane="bottomRight" state="frozen"/>
      <selection pane="topRight" activeCell="A4" sqref="A4"/>
      <selection pane="bottomLeft" activeCell="A4" sqref="A4"/>
      <selection pane="bottomRight" activeCell="B286" sqref="B286"/>
    </sheetView>
  </sheetViews>
  <sheetFormatPr defaultColWidth="9.33203125" defaultRowHeight="15.75" outlineLevelRow="1" outlineLevelCol="1" x14ac:dyDescent="0.25"/>
  <cols>
    <col min="1" max="1" width="9.33203125" style="63"/>
    <col min="2" max="2" width="80.83203125" style="63" customWidth="1"/>
    <col min="3" max="3" width="2.83203125" style="63" customWidth="1"/>
    <col min="4" max="5" width="12.83203125" style="63" customWidth="1"/>
    <col min="6" max="7" width="12.83203125" style="63" hidden="1" customWidth="1" outlineLevel="1"/>
    <col min="8" max="8" width="2.83203125" style="63" customWidth="1" collapsed="1"/>
    <col min="9" max="12" width="12.83203125" style="63" customWidth="1"/>
    <col min="13" max="13" width="2.83203125" style="63" customWidth="1"/>
    <col min="14" max="17" width="12.83203125" style="63" customWidth="1"/>
    <col min="18" max="18" width="2.83203125" style="63" customWidth="1"/>
    <col min="19" max="20" width="12.83203125" style="63" customWidth="1"/>
    <col min="21" max="21" width="2.83203125" style="199" customWidth="1"/>
    <col min="22" max="23" width="12.83203125" style="63" customWidth="1"/>
    <col min="24" max="24" width="4.83203125" style="199" customWidth="1"/>
    <col min="25" max="26" width="12.83203125" style="63" customWidth="1"/>
    <col min="27" max="27" width="4.83203125" style="199" customWidth="1"/>
    <col min="28" max="29" width="12.83203125" style="63" customWidth="1"/>
    <col min="30" max="30" width="2.83203125" style="63" customWidth="1"/>
    <col min="31" max="31" width="10.83203125" style="63" customWidth="1"/>
    <col min="32" max="16384" width="9.33203125" style="63"/>
  </cols>
  <sheetData>
    <row r="1" spans="2:30" hidden="1" outlineLevel="1" x14ac:dyDescent="0.25">
      <c r="C1" s="124"/>
      <c r="D1" s="123" t="s">
        <v>203</v>
      </c>
      <c r="E1" s="123" t="s">
        <v>203</v>
      </c>
      <c r="F1" s="123"/>
      <c r="G1" s="123"/>
      <c r="H1" s="124"/>
      <c r="I1" s="123" t="s">
        <v>204</v>
      </c>
      <c r="J1" s="123" t="s">
        <v>204</v>
      </c>
      <c r="K1" s="123" t="s">
        <v>203</v>
      </c>
      <c r="L1" s="123" t="s">
        <v>203</v>
      </c>
      <c r="M1" s="124"/>
      <c r="N1" s="123"/>
      <c r="O1" s="123"/>
      <c r="P1" s="123" t="s">
        <v>204</v>
      </c>
      <c r="Q1" s="123" t="s">
        <v>204</v>
      </c>
      <c r="R1" s="76"/>
      <c r="S1" s="101"/>
      <c r="T1" s="101"/>
      <c r="U1" s="198"/>
      <c r="V1" s="123" t="s">
        <v>203</v>
      </c>
      <c r="W1" s="123" t="s">
        <v>204</v>
      </c>
      <c r="Y1" s="123" t="s">
        <v>203</v>
      </c>
      <c r="Z1" s="123" t="s">
        <v>204</v>
      </c>
      <c r="AB1" s="64"/>
      <c r="AC1" s="64"/>
      <c r="AD1" s="76"/>
    </row>
    <row r="2" spans="2:30" ht="24" collapsed="1" x14ac:dyDescent="0.4">
      <c r="B2" s="66" t="s">
        <v>205</v>
      </c>
    </row>
    <row r="3" spans="2:30" x14ac:dyDescent="0.25">
      <c r="F3" s="67" t="s">
        <v>206</v>
      </c>
      <c r="G3" s="67" t="s">
        <v>206</v>
      </c>
      <c r="K3" s="67" t="s">
        <v>206</v>
      </c>
      <c r="L3" s="67" t="s">
        <v>206</v>
      </c>
    </row>
    <row r="4" spans="2:30" x14ac:dyDescent="0.25">
      <c r="F4" s="67" t="s">
        <v>206</v>
      </c>
      <c r="G4" s="67" t="s">
        <v>206</v>
      </c>
      <c r="K4" s="67" t="s">
        <v>206</v>
      </c>
      <c r="L4" s="67" t="s">
        <v>206</v>
      </c>
    </row>
    <row r="5" spans="2:30" x14ac:dyDescent="0.25">
      <c r="B5" s="8" t="s">
        <v>1</v>
      </c>
      <c r="D5" s="175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S5" s="209" t="s">
        <v>207</v>
      </c>
      <c r="T5" s="210"/>
      <c r="V5" s="209" t="s">
        <v>208</v>
      </c>
      <c r="W5" s="210"/>
      <c r="X5" s="206"/>
      <c r="Y5" s="209" t="s">
        <v>209</v>
      </c>
      <c r="Z5" s="210"/>
      <c r="AA5" s="206"/>
      <c r="AB5" s="209" t="s">
        <v>210</v>
      </c>
      <c r="AC5" s="210"/>
    </row>
    <row r="6" spans="2:30" x14ac:dyDescent="0.25">
      <c r="D6" s="136" t="s">
        <v>211</v>
      </c>
      <c r="E6" s="136" t="s">
        <v>3</v>
      </c>
      <c r="F6" s="136" t="s">
        <v>212</v>
      </c>
      <c r="G6" s="136" t="s">
        <v>213</v>
      </c>
      <c r="I6" s="136" t="s">
        <v>211</v>
      </c>
      <c r="J6" s="136" t="s">
        <v>3</v>
      </c>
      <c r="K6" s="136" t="s">
        <v>212</v>
      </c>
      <c r="L6" s="136" t="s">
        <v>213</v>
      </c>
      <c r="N6" s="136" t="s">
        <v>211</v>
      </c>
      <c r="O6" s="136" t="s">
        <v>3</v>
      </c>
      <c r="P6" s="136" t="s">
        <v>212</v>
      </c>
      <c r="Q6" s="136" t="s">
        <v>213</v>
      </c>
      <c r="S6" s="176" t="s">
        <v>3</v>
      </c>
      <c r="T6" s="176" t="s">
        <v>3</v>
      </c>
      <c r="V6" s="176" t="str">
        <f>+S6</f>
        <v>Q2</v>
      </c>
      <c r="W6" s="176" t="str">
        <f>+T6</f>
        <v>Q2</v>
      </c>
      <c r="Y6" s="176" t="s">
        <v>3</v>
      </c>
      <c r="Z6" s="176" t="s">
        <v>3</v>
      </c>
      <c r="AB6" s="176" t="s">
        <v>213</v>
      </c>
      <c r="AC6" s="176" t="s">
        <v>213</v>
      </c>
    </row>
    <row r="7" spans="2:30" x14ac:dyDescent="0.25">
      <c r="D7" s="159">
        <v>2025</v>
      </c>
      <c r="E7" s="159">
        <v>2025</v>
      </c>
      <c r="F7" s="159">
        <v>2025</v>
      </c>
      <c r="G7" s="159">
        <v>2025</v>
      </c>
      <c r="I7" s="159">
        <v>2024</v>
      </c>
      <c r="J7" s="159">
        <v>2024</v>
      </c>
      <c r="K7" s="159">
        <v>2024</v>
      </c>
      <c r="L7" s="159">
        <v>2024</v>
      </c>
      <c r="N7" s="159">
        <v>2023</v>
      </c>
      <c r="O7" s="159">
        <v>2023</v>
      </c>
      <c r="P7" s="159">
        <v>2023</v>
      </c>
      <c r="Q7" s="159">
        <v>2023</v>
      </c>
      <c r="S7" s="178">
        <v>2025</v>
      </c>
      <c r="T7" s="178">
        <v>2024</v>
      </c>
      <c r="V7" s="179">
        <v>2025</v>
      </c>
      <c r="W7" s="179">
        <v>2024</v>
      </c>
      <c r="X7" s="206"/>
      <c r="Y7" s="180">
        <v>2025</v>
      </c>
      <c r="Z7" s="180">
        <v>2024</v>
      </c>
      <c r="AA7" s="206"/>
      <c r="AB7" s="180">
        <v>2024</v>
      </c>
      <c r="AC7" s="180">
        <v>2023</v>
      </c>
    </row>
    <row r="8" spans="2:30" x14ac:dyDescent="0.25">
      <c r="B8" s="10" t="s">
        <v>2</v>
      </c>
      <c r="S8" s="177"/>
      <c r="T8" s="177"/>
      <c r="V8" s="177"/>
      <c r="W8" s="177"/>
      <c r="Y8" s="177"/>
      <c r="Z8" s="177"/>
      <c r="AB8" s="177"/>
      <c r="AC8" s="177"/>
    </row>
    <row r="9" spans="2:30" ht="9.75" customHeight="1" x14ac:dyDescent="0.25">
      <c r="B9" s="126"/>
      <c r="S9" s="177"/>
      <c r="T9" s="177"/>
      <c r="V9" s="177"/>
      <c r="W9" s="177"/>
      <c r="Y9" s="177"/>
      <c r="Z9" s="177"/>
      <c r="AB9" s="177"/>
      <c r="AC9" s="177"/>
    </row>
    <row r="10" spans="2:30" ht="16.5" customHeight="1" x14ac:dyDescent="0.25">
      <c r="B10" s="126" t="s">
        <v>5</v>
      </c>
      <c r="D10" s="125">
        <f>+D35</f>
        <v>2843.3284953498001</v>
      </c>
      <c r="E10" s="125">
        <f>+E35</f>
        <v>4160.8924920259997</v>
      </c>
      <c r="F10" s="125">
        <f>+F35</f>
        <v>0</v>
      </c>
      <c r="G10" s="125">
        <f>+G35</f>
        <v>0</v>
      </c>
      <c r="I10" s="125">
        <f>+I35</f>
        <v>2923.8740000000003</v>
      </c>
      <c r="J10" s="125">
        <f>+J35</f>
        <v>4528.6579999999994</v>
      </c>
      <c r="K10" s="125">
        <f>+K35</f>
        <v>4943.7889999999998</v>
      </c>
      <c r="L10" s="125">
        <f t="shared" ref="L10" si="0">+L35</f>
        <v>3597.1925226449002</v>
      </c>
      <c r="N10" s="125">
        <f t="shared" ref="N10:Q10" si="1">+N35</f>
        <v>2893.2979999999998</v>
      </c>
      <c r="O10" s="125">
        <f t="shared" si="1"/>
        <v>3965.6109999999999</v>
      </c>
      <c r="P10" s="125">
        <f t="shared" si="1"/>
        <v>4868.7710000000006</v>
      </c>
      <c r="Q10" s="125">
        <f t="shared" si="1"/>
        <v>3551.9119014646039</v>
      </c>
      <c r="S10" s="181">
        <f t="shared" ref="S10:T14" si="2">SUMIFS($C10:$R10,$C$7:$R$7,S$7,$C$6:$R$6,S$6)</f>
        <v>4160.8924920259997</v>
      </c>
      <c r="T10" s="181">
        <f t="shared" si="2"/>
        <v>4528.6579999999994</v>
      </c>
      <c r="V10" s="181">
        <f t="shared" ref="V10:W12" si="3">SUMIF($C$1:$R$1,V$1,$C10:$R10)</f>
        <v>15545.202510020701</v>
      </c>
      <c r="W10" s="181">
        <f t="shared" si="3"/>
        <v>15873.214901464604</v>
      </c>
      <c r="Y10" s="181">
        <f t="shared" ref="Y10:Z12" si="4">SUMIFS($C10:$R10,$C$7:$R$7,VALUE(RIGHT(Y$7,4)),$C$1:$R$1,Y$1)</f>
        <v>7004.2209873758002</v>
      </c>
      <c r="Z10" s="181">
        <f t="shared" si="4"/>
        <v>7452.5319999999992</v>
      </c>
      <c r="AB10" s="181">
        <f t="shared" ref="AB10:AC14" si="5">SUMIF($C$7:$R$7,AB$7,$C10:$R10)</f>
        <v>15993.5135226449</v>
      </c>
      <c r="AC10" s="181">
        <f t="shared" si="5"/>
        <v>15279.591901464604</v>
      </c>
    </row>
    <row r="11" spans="2:30" ht="16.5" customHeight="1" x14ac:dyDescent="0.25">
      <c r="B11" s="126" t="s">
        <v>64</v>
      </c>
      <c r="D11" s="125">
        <f>+D92+D102+D110+D91+D101</f>
        <v>297.35400000000004</v>
      </c>
      <c r="E11" s="125">
        <f>+E92+E102+E110+E91+E101</f>
        <v>561.57299999999998</v>
      </c>
      <c r="F11" s="125">
        <f t="shared" ref="F11:G11" si="6">+F92+F102+F110+F91+F101</f>
        <v>0</v>
      </c>
      <c r="G11" s="125">
        <f t="shared" si="6"/>
        <v>0</v>
      </c>
      <c r="I11" s="125">
        <f t="shared" ref="I11:L11" si="7">+I92+I102+I110+I91+I101</f>
        <v>317.92399999999998</v>
      </c>
      <c r="J11" s="125">
        <f t="shared" si="7"/>
        <v>515.78599999999994</v>
      </c>
      <c r="K11" s="125">
        <f t="shared" si="7"/>
        <v>597.93799999999999</v>
      </c>
      <c r="L11" s="125">
        <f t="shared" si="7"/>
        <v>409.70800000000003</v>
      </c>
      <c r="N11" s="125">
        <f t="shared" ref="N11:Q11" si="8">+N92+N102+N110+N91+N101</f>
        <v>301.79399999999998</v>
      </c>
      <c r="O11" s="125">
        <f t="shared" si="8"/>
        <v>474.19899999999996</v>
      </c>
      <c r="P11" s="125">
        <f t="shared" si="8"/>
        <v>539.49599999999987</v>
      </c>
      <c r="Q11" s="125">
        <f t="shared" si="8"/>
        <v>385.23900000000003</v>
      </c>
      <c r="S11" s="181">
        <f t="shared" si="2"/>
        <v>561.57299999999998</v>
      </c>
      <c r="T11" s="181">
        <f t="shared" si="2"/>
        <v>515.78599999999994</v>
      </c>
      <c r="V11" s="181">
        <f t="shared" si="3"/>
        <v>1866.5730000000001</v>
      </c>
      <c r="W11" s="181">
        <f t="shared" si="3"/>
        <v>1758.4449999999997</v>
      </c>
      <c r="Y11" s="181">
        <f t="shared" si="4"/>
        <v>858.92700000000002</v>
      </c>
      <c r="Z11" s="181">
        <f t="shared" si="4"/>
        <v>833.70999999999992</v>
      </c>
      <c r="AB11" s="181">
        <f t="shared" si="5"/>
        <v>1841.356</v>
      </c>
      <c r="AC11" s="181">
        <f t="shared" si="5"/>
        <v>1700.7279999999998</v>
      </c>
    </row>
    <row r="12" spans="2:30" ht="16.5" customHeight="1" x14ac:dyDescent="0.25">
      <c r="B12" s="126" t="s">
        <v>214</v>
      </c>
      <c r="D12" s="125">
        <f t="shared" ref="D12:F12" si="9">+D36</f>
        <v>178.89799999999997</v>
      </c>
      <c r="E12" s="125">
        <f t="shared" si="9"/>
        <v>426.39699999999999</v>
      </c>
      <c r="F12" s="125">
        <f t="shared" si="9"/>
        <v>0</v>
      </c>
      <c r="G12" s="125">
        <f t="shared" ref="G12" si="10">+G36</f>
        <v>0</v>
      </c>
      <c r="I12" s="125">
        <f t="shared" ref="I12:K12" si="11">+I36</f>
        <v>216.55970000000002</v>
      </c>
      <c r="J12" s="125">
        <f t="shared" si="11"/>
        <v>398.03970000000004</v>
      </c>
      <c r="K12" s="125">
        <f t="shared" si="11"/>
        <v>514.93400000000008</v>
      </c>
      <c r="L12" s="125">
        <f t="shared" ref="L12" si="12">+L36</f>
        <v>203.94260000000003</v>
      </c>
      <c r="N12" s="125">
        <f t="shared" ref="N12:Q12" si="13">+N36</f>
        <v>157.02940000000001</v>
      </c>
      <c r="O12" s="125">
        <f t="shared" si="13"/>
        <v>382.67019999999997</v>
      </c>
      <c r="P12" s="125">
        <f t="shared" si="13"/>
        <v>586.64800000000002</v>
      </c>
      <c r="Q12" s="125">
        <f t="shared" si="13"/>
        <v>189.08950000000002</v>
      </c>
      <c r="S12" s="181">
        <f t="shared" si="2"/>
        <v>426.39699999999999</v>
      </c>
      <c r="T12" s="181">
        <f t="shared" si="2"/>
        <v>398.03970000000004</v>
      </c>
      <c r="V12" s="181">
        <f t="shared" si="3"/>
        <v>1324.1716000000001</v>
      </c>
      <c r="W12" s="181">
        <f t="shared" si="3"/>
        <v>1390.3369000000002</v>
      </c>
      <c r="Y12" s="181">
        <f t="shared" si="4"/>
        <v>605.29499999999996</v>
      </c>
      <c r="Z12" s="181">
        <f t="shared" si="4"/>
        <v>614.59940000000006</v>
      </c>
      <c r="AB12" s="181">
        <f t="shared" si="5"/>
        <v>1333.4760000000003</v>
      </c>
      <c r="AC12" s="181">
        <f t="shared" si="5"/>
        <v>1315.4371000000001</v>
      </c>
    </row>
    <row r="13" spans="2:30" ht="16.5" customHeight="1" x14ac:dyDescent="0.25">
      <c r="B13" s="126" t="s">
        <v>7</v>
      </c>
      <c r="D13" s="125">
        <v>5780.6019999999999</v>
      </c>
      <c r="E13" s="125">
        <v>4011.2699999999995</v>
      </c>
      <c r="F13" s="125">
        <v>0</v>
      </c>
      <c r="G13" s="125">
        <v>0</v>
      </c>
      <c r="I13" s="125">
        <v>5951.0909999999994</v>
      </c>
      <c r="J13" s="125">
        <v>6518.6650000000009</v>
      </c>
      <c r="K13" s="125">
        <v>5396.9680930000004</v>
      </c>
      <c r="L13" s="125">
        <v>4835.3459999999995</v>
      </c>
      <c r="N13" s="125">
        <v>5252.7044539999997</v>
      </c>
      <c r="O13" s="125">
        <v>5787.9349999999995</v>
      </c>
      <c r="P13" s="125">
        <v>5815.4997170000006</v>
      </c>
      <c r="Q13" s="125">
        <v>4719.1689999999999</v>
      </c>
      <c r="S13" s="181">
        <f t="shared" si="2"/>
        <v>4011.2699999999995</v>
      </c>
      <c r="T13" s="181">
        <f t="shared" si="2"/>
        <v>6518.6650000000009</v>
      </c>
      <c r="V13" s="181">
        <f>+S13</f>
        <v>4011.2699999999995</v>
      </c>
      <c r="W13" s="181">
        <f>+T13</f>
        <v>6518.6650000000009</v>
      </c>
      <c r="Y13" s="181">
        <f>SUMIFS($C13:$R13,$C$7:$R$7,VALUE(RIGHT(Y$7,4)),$C$6:$R$6,Y$6)</f>
        <v>4011.2699999999995</v>
      </c>
      <c r="Z13" s="181">
        <f>SUMIFS($C13:$R13,$C$7:$R$7,VALUE(RIGHT(Z$7,4)),$C$6:$R$6,Z$6)</f>
        <v>6518.6650000000009</v>
      </c>
      <c r="AB13" s="181">
        <f>SUMIFS($C13:$R13,$C$7:$R$7,AB$7,$C$6:$R$6,AB$6)</f>
        <v>4835.3459999999995</v>
      </c>
      <c r="AC13" s="181">
        <f>SUMIFS($C13:$R13,$C$7:$R$7,AC$7,$C$6:$R$6,AC$6)</f>
        <v>4719.1689999999999</v>
      </c>
    </row>
    <row r="14" spans="2:30" ht="16.5" customHeight="1" x14ac:dyDescent="0.25">
      <c r="B14" s="126" t="s">
        <v>9</v>
      </c>
      <c r="D14" s="125">
        <f>+D94+D104+D112</f>
        <v>17.087999999999997</v>
      </c>
      <c r="E14" s="125">
        <f>+E94+E104+E112</f>
        <v>44.207999999999998</v>
      </c>
      <c r="F14" s="125">
        <f>+F94+F104+F112</f>
        <v>0</v>
      </c>
      <c r="G14" s="125">
        <f>+G94+G104+G112</f>
        <v>0</v>
      </c>
      <c r="I14" s="125">
        <f>+I94+I104+I112</f>
        <v>20.811</v>
      </c>
      <c r="J14" s="125">
        <f>+J94+J104+J112</f>
        <v>38.64</v>
      </c>
      <c r="K14" s="125">
        <f>+K94+K104+K112</f>
        <v>48.138000000000005</v>
      </c>
      <c r="L14" s="125">
        <f>+L94+L104+L112</f>
        <v>19.222000000000001</v>
      </c>
      <c r="N14" s="125">
        <f>+N94+N104+N112</f>
        <v>15.119</v>
      </c>
      <c r="O14" s="125">
        <f>+O94+O104+O112</f>
        <v>35.928000000000004</v>
      </c>
      <c r="P14" s="125">
        <f>+P94+P104+P112</f>
        <v>54.272000000000006</v>
      </c>
      <c r="Q14" s="125">
        <f>+Q94+Q104+Q112</f>
        <v>17.103999999999999</v>
      </c>
      <c r="S14" s="181">
        <f t="shared" si="2"/>
        <v>44.207999999999998</v>
      </c>
      <c r="T14" s="181">
        <f t="shared" si="2"/>
        <v>38.64</v>
      </c>
      <c r="V14" s="181">
        <f>SUMIF($C$1:$R$1,V$1,$C14:$R14)</f>
        <v>128.65600000000001</v>
      </c>
      <c r="W14" s="181">
        <f>SUMIF($C$1:$R$1,W$1,$C14:$R14)</f>
        <v>130.827</v>
      </c>
      <c r="Y14" s="181">
        <f>SUMIFS($C14:$R14,$C$7:$R$7,VALUE(RIGHT(Y$7,4)),$C$1:$R$1,Y$1)</f>
        <v>61.295999999999992</v>
      </c>
      <c r="Z14" s="181">
        <f>SUMIFS($C14:$R14,$C$7:$R$7,VALUE(RIGHT(Z$7,4)),$C$1:$R$1,Z$1)</f>
        <v>59.451000000000001</v>
      </c>
      <c r="AB14" s="181">
        <f t="shared" si="5"/>
        <v>126.81100000000001</v>
      </c>
      <c r="AC14" s="181">
        <f t="shared" si="5"/>
        <v>122.42300000000002</v>
      </c>
    </row>
    <row r="15" spans="2:30" ht="8.1" customHeight="1" x14ac:dyDescent="0.25">
      <c r="B15" s="126"/>
      <c r="D15" s="125"/>
      <c r="E15" s="125"/>
      <c r="F15" s="125"/>
      <c r="G15" s="125"/>
      <c r="I15" s="125"/>
      <c r="J15" s="125"/>
      <c r="K15" s="125"/>
      <c r="L15" s="125"/>
      <c r="N15" s="125"/>
      <c r="O15" s="125"/>
      <c r="P15" s="125"/>
      <c r="Q15" s="125"/>
      <c r="S15" s="181"/>
      <c r="T15" s="181"/>
      <c r="V15" s="181"/>
      <c r="W15" s="181"/>
      <c r="Y15" s="181"/>
      <c r="Z15" s="181"/>
      <c r="AB15" s="181"/>
      <c r="AC15" s="181"/>
    </row>
    <row r="16" spans="2:30" ht="16.5" customHeight="1" x14ac:dyDescent="0.25">
      <c r="B16" s="126" t="s">
        <v>10</v>
      </c>
      <c r="D16" s="125">
        <f t="shared" ref="D16:G16" si="14">SUM(D190:D196)-SUM(D238:D243)</f>
        <v>3109.2999999999988</v>
      </c>
      <c r="E16" s="125">
        <f t="shared" si="14"/>
        <v>2844.2</v>
      </c>
      <c r="F16" s="125">
        <f t="shared" si="14"/>
        <v>0</v>
      </c>
      <c r="G16" s="125">
        <f t="shared" si="14"/>
        <v>0</v>
      </c>
      <c r="I16" s="125">
        <f t="shared" ref="I16:K16" si="15">SUM(I190:I196)-SUM(I238:I243)</f>
        <v>3778.8738779999994</v>
      </c>
      <c r="J16" s="125">
        <f t="shared" si="15"/>
        <v>4412.9900000000007</v>
      </c>
      <c r="K16" s="125">
        <f t="shared" si="15"/>
        <v>3269.3247160000001</v>
      </c>
      <c r="L16" s="125">
        <f>SUM(L190:L196)-SUM(L238:L243)</f>
        <v>2448.5000000000005</v>
      </c>
      <c r="N16" s="125">
        <f t="shared" ref="N16:Q16" si="16">SUM(N190:N196)-SUM(N238:N243)</f>
        <v>4260.6597540000002</v>
      </c>
      <c r="O16" s="125">
        <f t="shared" si="16"/>
        <v>4593.7090000000007</v>
      </c>
      <c r="P16" s="125">
        <f t="shared" si="16"/>
        <v>5038.0674769999996</v>
      </c>
      <c r="Q16" s="125">
        <f t="shared" si="16"/>
        <v>2682.1059999999998</v>
      </c>
      <c r="S16" s="181">
        <f>SUMIFS($C16:$R16,$C$7:$R$7,S$7,$C$6:$R$6,S$6)</f>
        <v>2844.2</v>
      </c>
      <c r="T16" s="181">
        <f>SUMIFS($C16:$R16,$C$7:$R$7,T$7,$C$6:$R$6,T$6)</f>
        <v>4412.9900000000007</v>
      </c>
      <c r="V16" s="181">
        <f>+S16</f>
        <v>2844.2</v>
      </c>
      <c r="W16" s="181">
        <f>+T16</f>
        <v>4412.9900000000007</v>
      </c>
      <c r="Y16" s="181">
        <f>SUMIFS($C16:$R16,$C$7:$R$7,VALUE(RIGHT(Y$7,4)),$C$6:$R$6,Y$6)</f>
        <v>2844.2</v>
      </c>
      <c r="Z16" s="181">
        <f>SUMIFS($C16:$R16,$C$7:$R$7,VALUE(RIGHT(Z$7,4)),$C$6:$R$6,Z$6)</f>
        <v>4412.9900000000007</v>
      </c>
      <c r="AB16" s="181">
        <f t="shared" ref="AB16:AC19" si="17">SUMIFS($C16:$R16,$C$7:$R$7,AB$7,$C$6:$R$6,AB$6)</f>
        <v>2448.5000000000005</v>
      </c>
      <c r="AC16" s="181">
        <f t="shared" si="17"/>
        <v>2682.1059999999998</v>
      </c>
    </row>
    <row r="17" spans="2:31" ht="8.1" customHeight="1" x14ac:dyDescent="0.25">
      <c r="B17" s="126"/>
      <c r="D17" s="125"/>
      <c r="E17" s="125"/>
      <c r="F17" s="125"/>
      <c r="G17" s="125"/>
      <c r="I17" s="125"/>
      <c r="J17" s="125"/>
      <c r="K17" s="125"/>
      <c r="L17" s="125"/>
      <c r="N17" s="125"/>
      <c r="O17" s="125"/>
      <c r="P17" s="125"/>
      <c r="Q17" s="125"/>
      <c r="S17" s="181"/>
      <c r="T17" s="181"/>
      <c r="V17" s="181"/>
      <c r="W17" s="181"/>
      <c r="Y17" s="181"/>
      <c r="Z17" s="181"/>
      <c r="AB17" s="181"/>
      <c r="AC17" s="181"/>
    </row>
    <row r="18" spans="2:31" ht="16.5" customHeight="1" x14ac:dyDescent="0.25">
      <c r="B18" s="126" t="s">
        <v>11</v>
      </c>
      <c r="D18" s="125">
        <v>533.74099999999999</v>
      </c>
      <c r="E18" s="125">
        <v>1137.5229999999999</v>
      </c>
      <c r="F18" s="125">
        <v>0</v>
      </c>
      <c r="G18" s="125">
        <v>0</v>
      </c>
      <c r="I18" s="125">
        <v>663.07399999999996</v>
      </c>
      <c r="J18" s="125">
        <v>585.32299999999998</v>
      </c>
      <c r="K18" s="125">
        <v>830.43200000000002</v>
      </c>
      <c r="L18" s="125">
        <v>1228.6220000000001</v>
      </c>
      <c r="N18" s="125">
        <v>1198.6479999999999</v>
      </c>
      <c r="O18" s="125">
        <v>988.96600000000001</v>
      </c>
      <c r="P18" s="125">
        <v>995.93200000000002</v>
      </c>
      <c r="Q18" s="125">
        <v>1204.798</v>
      </c>
      <c r="S18" s="181">
        <f>SUMIFS($C18:$R18,$C$7:$R$7,S$7,$C$6:$R$6,S$6)</f>
        <v>1137.5229999999999</v>
      </c>
      <c r="T18" s="181">
        <f>SUMIFS($C18:$R18,$C$7:$R$7,T$7,$C$6:$R$6,T$6)</f>
        <v>585.32299999999998</v>
      </c>
      <c r="V18" s="181">
        <f>+S18</f>
        <v>1137.5229999999999</v>
      </c>
      <c r="W18" s="181">
        <f>+T18</f>
        <v>585.32299999999998</v>
      </c>
      <c r="Y18" s="181">
        <f>SUMIFS($C18:$R18,$C$7:$R$7,VALUE(RIGHT(Y$7,4)),$C$6:$R$6,Y$6)</f>
        <v>1137.5229999999999</v>
      </c>
      <c r="Z18" s="181">
        <f>SUMIFS($C18:$R18,$C$7:$R$7,VALUE(RIGHT(Z$7,4)),$C$6:$R$6,Z$6)</f>
        <v>585.32299999999998</v>
      </c>
      <c r="AB18" s="181">
        <f t="shared" si="17"/>
        <v>1228.6220000000001</v>
      </c>
      <c r="AC18" s="181">
        <f t="shared" si="17"/>
        <v>1204.798</v>
      </c>
    </row>
    <row r="19" spans="2:31" ht="16.5" customHeight="1" x14ac:dyDescent="0.25">
      <c r="B19" s="126" t="s">
        <v>215</v>
      </c>
      <c r="D19" s="125">
        <v>646.39599999999996</v>
      </c>
      <c r="E19" s="125">
        <f>449.781+E18</f>
        <v>1587.3039999999999</v>
      </c>
      <c r="F19" s="125">
        <v>0</v>
      </c>
      <c r="G19" s="125">
        <v>0</v>
      </c>
      <c r="I19" s="125">
        <v>1143.9390000000001</v>
      </c>
      <c r="J19" s="125">
        <v>878.90200000000004</v>
      </c>
      <c r="K19" s="125">
        <v>1671.5450000000001</v>
      </c>
      <c r="L19" s="125">
        <v>2018.681</v>
      </c>
      <c r="N19" s="125">
        <v>1510.6479999999999</v>
      </c>
      <c r="O19" s="125">
        <v>1608.9659999999999</v>
      </c>
      <c r="P19" s="125">
        <v>1418.932</v>
      </c>
      <c r="Q19" s="125">
        <v>1802.798</v>
      </c>
      <c r="S19" s="181">
        <f>SUMIFS($C19:$R19,$C$7:$R$7,S$7,$C$6:$R$6,S$6)</f>
        <v>1587.3039999999999</v>
      </c>
      <c r="T19" s="181">
        <f>SUMIFS($C19:$R19,$C$7:$R$7,T$7,$C$6:$R$6,T$6)</f>
        <v>878.90200000000004</v>
      </c>
      <c r="V19" s="181">
        <f>+S19</f>
        <v>1587.3039999999999</v>
      </c>
      <c r="W19" s="181">
        <f>+T19</f>
        <v>878.90200000000004</v>
      </c>
      <c r="Y19" s="181">
        <f>SUMIFS($C19:$R19,$C$7:$R$7,VALUE(RIGHT(Y$7,4)),$C$6:$R$6,Y$6)</f>
        <v>1587.3039999999999</v>
      </c>
      <c r="Z19" s="181">
        <f>SUMIFS($C19:$R19,$C$7:$R$7,VALUE(RIGHT(Z$7,4)),$C$6:$R$6,Z$6)</f>
        <v>878.90200000000004</v>
      </c>
      <c r="AB19" s="181">
        <f t="shared" si="17"/>
        <v>2018.681</v>
      </c>
      <c r="AC19" s="181">
        <f t="shared" si="17"/>
        <v>1802.798</v>
      </c>
    </row>
    <row r="20" spans="2:31" ht="8.1" customHeight="1" x14ac:dyDescent="0.25">
      <c r="B20" s="126"/>
      <c r="D20" s="125"/>
      <c r="E20" s="125"/>
      <c r="F20" s="125"/>
      <c r="G20" s="125"/>
      <c r="I20" s="125"/>
      <c r="J20" s="125"/>
      <c r="K20" s="125"/>
      <c r="L20" s="125"/>
      <c r="N20" s="125"/>
      <c r="O20" s="125"/>
      <c r="P20" s="125"/>
      <c r="Q20" s="125"/>
      <c r="S20" s="181"/>
      <c r="T20" s="181"/>
      <c r="V20" s="181"/>
      <c r="W20" s="181"/>
      <c r="Y20" s="181"/>
      <c r="Z20" s="181"/>
      <c r="AB20" s="181"/>
      <c r="AC20" s="181"/>
    </row>
    <row r="21" spans="2:31" ht="8.1" customHeight="1" x14ac:dyDescent="0.25">
      <c r="B21" s="126"/>
      <c r="D21" s="125"/>
      <c r="E21" s="125"/>
      <c r="F21" s="125"/>
      <c r="G21" s="125"/>
      <c r="I21" s="125"/>
      <c r="J21" s="125"/>
      <c r="K21" s="125"/>
      <c r="L21" s="125"/>
      <c r="N21" s="125"/>
      <c r="O21" s="125"/>
      <c r="P21" s="125"/>
      <c r="Q21" s="125"/>
      <c r="S21" s="181"/>
      <c r="T21" s="181"/>
      <c r="V21" s="181"/>
      <c r="W21" s="181"/>
      <c r="Y21" s="181"/>
      <c r="Z21" s="181"/>
      <c r="AB21" s="181"/>
      <c r="AC21" s="181"/>
    </row>
    <row r="22" spans="2:31" ht="16.5" customHeight="1" x14ac:dyDescent="0.25">
      <c r="B22" s="126" t="s">
        <v>13</v>
      </c>
      <c r="D22" s="125">
        <f>-SUM(D269:D270)-SUM(D23:D25)</f>
        <v>52.102000000000004</v>
      </c>
      <c r="E22" s="125">
        <f>-SUM(E269:E270)-SUM(E23:E25)</f>
        <v>64.069000000000003</v>
      </c>
      <c r="F22" s="125">
        <f>-SUM(F269:F270)-SUM(F23:F25)</f>
        <v>0</v>
      </c>
      <c r="G22" s="125">
        <f>-SUM(G269:G270)-SUM(G23:G25)</f>
        <v>0</v>
      </c>
      <c r="I22" s="125">
        <f>-SUM(I269:I270)-SUM(I23:I25)</f>
        <v>27.913000000000004</v>
      </c>
      <c r="J22" s="125">
        <f>-SUM(J269:J270)-SUM(J23:J25)</f>
        <v>43.893999999999991</v>
      </c>
      <c r="K22" s="125">
        <f>-SUM(K269:K270)-SUM(K23:K25)</f>
        <v>36.983999999999988</v>
      </c>
      <c r="L22" s="125">
        <f>-SUM(L269:L270)-SUM(L23:L25)</f>
        <v>82.003000000000029</v>
      </c>
      <c r="N22" s="125">
        <f>-SUM(N269:N270)-SUM(N23:N25)</f>
        <v>25.988622579999998</v>
      </c>
      <c r="O22" s="125">
        <f>-SUM(O269:O270)-SUM(O23:O25)</f>
        <v>44.143559139999979</v>
      </c>
      <c r="P22" s="125">
        <f>-SUM(P269:P270)-SUM(P23:P25)</f>
        <v>42.681606340000009</v>
      </c>
      <c r="Q22" s="125">
        <f>-SUM(Q269:Q270)-SUM(Q23:Q25)</f>
        <v>98.312449679999986</v>
      </c>
      <c r="S22" s="181">
        <f t="shared" ref="S22:T27" si="18">SUMIFS($C22:$R22,$C$7:$R$7,S$7,$C$6:$R$6,S$6)</f>
        <v>64.069000000000003</v>
      </c>
      <c r="T22" s="181">
        <f t="shared" si="18"/>
        <v>43.893999999999991</v>
      </c>
      <c r="V22" s="181">
        <f t="shared" ref="V22:W27" si="19">SUMIF($C$1:$R$1,V$1,$C22:$R22)</f>
        <v>235.15800000000002</v>
      </c>
      <c r="W22" s="181">
        <f t="shared" si="19"/>
        <v>212.80105601999998</v>
      </c>
      <c r="Y22" s="181">
        <f t="shared" ref="Y22:Z25" si="20">SUMIFS($C22:$R22,$C$7:$R$7,VALUE(RIGHT(Y$7,4)),$C$6:$R$6,Y$6)</f>
        <v>64.069000000000003</v>
      </c>
      <c r="Z22" s="181">
        <f t="shared" si="20"/>
        <v>43.893999999999991</v>
      </c>
      <c r="AB22" s="181">
        <f t="shared" ref="AB22:AC27" si="21">SUMIF($C$7:$R$7,AB$7,$C22:$R22)</f>
        <v>190.79399999999998</v>
      </c>
      <c r="AC22" s="181">
        <f t="shared" si="21"/>
        <v>211.12623773999997</v>
      </c>
    </row>
    <row r="23" spans="2:31" ht="16.5" customHeight="1" x14ac:dyDescent="0.25">
      <c r="B23" s="126" t="s">
        <v>14</v>
      </c>
      <c r="D23" s="125">
        <v>26.303000000000001</v>
      </c>
      <c r="E23" s="125">
        <v>14.156000000000002</v>
      </c>
      <c r="F23" s="125">
        <v>0</v>
      </c>
      <c r="G23" s="125">
        <v>0</v>
      </c>
      <c r="I23" s="125">
        <v>9.8239999999999998</v>
      </c>
      <c r="J23" s="125">
        <v>12.167</v>
      </c>
      <c r="K23" s="125">
        <v>27.908000000000001</v>
      </c>
      <c r="L23" s="125">
        <v>72.561000000000007</v>
      </c>
      <c r="N23" s="125">
        <v>19.234000000000002</v>
      </c>
      <c r="O23" s="125">
        <v>10.412000000000001</v>
      </c>
      <c r="P23" s="125">
        <v>21.375</v>
      </c>
      <c r="Q23" s="125">
        <v>60.491</v>
      </c>
      <c r="S23" s="181">
        <f t="shared" si="18"/>
        <v>14.156000000000002</v>
      </c>
      <c r="T23" s="181">
        <f t="shared" si="18"/>
        <v>12.167</v>
      </c>
      <c r="V23" s="181">
        <f t="shared" si="19"/>
        <v>140.928</v>
      </c>
      <c r="W23" s="181">
        <f t="shared" si="19"/>
        <v>103.857</v>
      </c>
      <c r="Y23" s="181">
        <f t="shared" si="20"/>
        <v>14.156000000000002</v>
      </c>
      <c r="Z23" s="181">
        <f t="shared" si="20"/>
        <v>12.167</v>
      </c>
      <c r="AB23" s="181">
        <f t="shared" si="21"/>
        <v>122.46000000000001</v>
      </c>
      <c r="AC23" s="181">
        <f t="shared" si="21"/>
        <v>111.512</v>
      </c>
    </row>
    <row r="24" spans="2:31" ht="16.5" customHeight="1" x14ac:dyDescent="0.25">
      <c r="B24" s="126" t="s">
        <v>15</v>
      </c>
      <c r="D24" s="125">
        <v>0</v>
      </c>
      <c r="E24" s="125">
        <v>0</v>
      </c>
      <c r="F24" s="125">
        <v>0</v>
      </c>
      <c r="G24" s="125">
        <v>0</v>
      </c>
      <c r="I24" s="125">
        <v>37.658999999999999</v>
      </c>
      <c r="J24" s="125">
        <v>-3.1789999999999998</v>
      </c>
      <c r="K24" s="125">
        <v>0.52800000000000002</v>
      </c>
      <c r="L24" s="125">
        <v>0</v>
      </c>
      <c r="N24" s="125">
        <v>7.6243774200000001</v>
      </c>
      <c r="O24" s="125">
        <v>13.872440859999999</v>
      </c>
      <c r="P24" s="125">
        <v>39.085393660000001</v>
      </c>
      <c r="Q24" s="125">
        <v>201.24055031999998</v>
      </c>
      <c r="S24" s="181">
        <f t="shared" si="18"/>
        <v>0</v>
      </c>
      <c r="T24" s="181">
        <f t="shared" si="18"/>
        <v>-3.1789999999999998</v>
      </c>
      <c r="V24" s="181">
        <f t="shared" si="19"/>
        <v>0.52800000000000002</v>
      </c>
      <c r="W24" s="181">
        <f t="shared" si="19"/>
        <v>274.80594398</v>
      </c>
      <c r="Y24" s="181">
        <f t="shared" si="20"/>
        <v>0</v>
      </c>
      <c r="Z24" s="181">
        <f t="shared" si="20"/>
        <v>-3.1789999999999998</v>
      </c>
      <c r="AB24" s="181">
        <f t="shared" si="21"/>
        <v>35.007999999999996</v>
      </c>
      <c r="AC24" s="181">
        <f t="shared" si="21"/>
        <v>261.82276225999999</v>
      </c>
    </row>
    <row r="25" spans="2:31" ht="16.5" customHeight="1" x14ac:dyDescent="0.25">
      <c r="B25" s="126" t="s">
        <v>16</v>
      </c>
      <c r="D25" s="125">
        <v>-9.7000000000000003E-2</v>
      </c>
      <c r="E25" s="125">
        <v>5.8979999999999997</v>
      </c>
      <c r="F25" s="125">
        <v>0</v>
      </c>
      <c r="G25" s="125">
        <v>0</v>
      </c>
      <c r="I25" s="125">
        <v>0.22900000000000001</v>
      </c>
      <c r="J25" s="125">
        <v>0.05</v>
      </c>
      <c r="K25" s="125">
        <v>0</v>
      </c>
      <c r="L25" s="125">
        <v>14.271000000000001</v>
      </c>
      <c r="N25" s="125">
        <v>10.403</v>
      </c>
      <c r="O25" s="125">
        <v>4.1769999999999996</v>
      </c>
      <c r="P25" s="125">
        <v>2.3450000000000002</v>
      </c>
      <c r="Q25" s="125">
        <v>2.0230000000000001</v>
      </c>
      <c r="S25" s="181">
        <f t="shared" si="18"/>
        <v>5.8979999999999997</v>
      </c>
      <c r="T25" s="181">
        <f t="shared" si="18"/>
        <v>0.05</v>
      </c>
      <c r="V25" s="181">
        <f t="shared" si="19"/>
        <v>20.071999999999999</v>
      </c>
      <c r="W25" s="181">
        <f t="shared" si="19"/>
        <v>4.6470000000000002</v>
      </c>
      <c r="Y25" s="181">
        <f t="shared" si="20"/>
        <v>5.8979999999999997</v>
      </c>
      <c r="Z25" s="181">
        <f t="shared" si="20"/>
        <v>0.05</v>
      </c>
      <c r="AB25" s="181">
        <f t="shared" si="21"/>
        <v>14.55</v>
      </c>
      <c r="AC25" s="181">
        <f t="shared" si="21"/>
        <v>18.948</v>
      </c>
    </row>
    <row r="26" spans="2:31" ht="16.5" customHeight="1" x14ac:dyDescent="0.25">
      <c r="B26" s="126"/>
      <c r="D26" s="8"/>
      <c r="I26" s="8"/>
      <c r="S26" s="177"/>
      <c r="T26" s="177"/>
      <c r="V26" s="177"/>
      <c r="W26" s="177"/>
      <c r="Y26" s="177"/>
      <c r="Z26" s="177"/>
      <c r="AB26" s="177"/>
      <c r="AC26" s="177"/>
    </row>
    <row r="27" spans="2:31" ht="16.5" customHeight="1" x14ac:dyDescent="0.25">
      <c r="B27" s="126" t="s">
        <v>216</v>
      </c>
      <c r="D27" s="125">
        <v>-729.86500000000001</v>
      </c>
      <c r="E27" s="125">
        <v>346.59800000000001</v>
      </c>
      <c r="F27" s="125">
        <v>0</v>
      </c>
      <c r="G27" s="125">
        <v>0</v>
      </c>
      <c r="I27" s="125">
        <v>-554.048</v>
      </c>
      <c r="J27" s="125">
        <v>-461.02100000000002</v>
      </c>
      <c r="K27" s="125">
        <v>1285.652</v>
      </c>
      <c r="L27" s="125">
        <v>1092.22</v>
      </c>
      <c r="N27" s="125">
        <v>-296.10500000000002</v>
      </c>
      <c r="O27" s="125">
        <v>-55.417999999999999</v>
      </c>
      <c r="P27" s="125">
        <v>211.35900000000001</v>
      </c>
      <c r="Q27" s="125">
        <v>1414.03</v>
      </c>
      <c r="S27" s="181">
        <f t="shared" si="18"/>
        <v>346.59800000000001</v>
      </c>
      <c r="T27" s="181">
        <f t="shared" si="18"/>
        <v>-461.02100000000002</v>
      </c>
      <c r="V27" s="181">
        <f t="shared" si="19"/>
        <v>1994.605</v>
      </c>
      <c r="W27" s="181">
        <f t="shared" si="19"/>
        <v>610.32000000000005</v>
      </c>
      <c r="Y27" s="181">
        <f>SUMIFS($C27:$R27,$C$7:$R$7,VALUE(RIGHT(Y$7,4)),$C$1:$R$1,Y$1)</f>
        <v>-383.267</v>
      </c>
      <c r="Z27" s="181">
        <f>SUMIFS($C27:$R27,$C$7:$R$7,VALUE(RIGHT(Z$7,4)),$C$1:$R$1,Z$1)</f>
        <v>-1015.069</v>
      </c>
      <c r="AB27" s="181">
        <f t="shared" si="21"/>
        <v>1362.8030000000001</v>
      </c>
      <c r="AC27" s="181">
        <f t="shared" si="21"/>
        <v>1273.866</v>
      </c>
    </row>
    <row r="28" spans="2:31" ht="16.5" customHeight="1" x14ac:dyDescent="0.25">
      <c r="B28" s="126"/>
      <c r="D28" s="8"/>
      <c r="I28" s="8"/>
      <c r="S28" s="177"/>
      <c r="T28" s="177"/>
      <c r="V28" s="177"/>
      <c r="W28" s="177"/>
      <c r="Y28" s="177"/>
      <c r="Z28" s="177"/>
      <c r="AB28" s="177"/>
      <c r="AC28" s="177"/>
    </row>
    <row r="29" spans="2:31" ht="16.5" customHeight="1" x14ac:dyDescent="0.25">
      <c r="B29" s="156" t="s">
        <v>217</v>
      </c>
      <c r="S29" s="177"/>
      <c r="T29" s="177"/>
      <c r="V29" s="177"/>
      <c r="W29" s="177"/>
      <c r="Y29" s="177"/>
      <c r="Z29" s="177"/>
      <c r="AB29" s="177"/>
      <c r="AC29" s="177"/>
    </row>
    <row r="30" spans="2:31" ht="16.5" customHeight="1" x14ac:dyDescent="0.25">
      <c r="B30" s="157" t="s">
        <v>218</v>
      </c>
      <c r="S30" s="177"/>
      <c r="T30" s="177"/>
      <c r="V30" s="177"/>
      <c r="W30" s="177"/>
      <c r="Y30" s="177"/>
      <c r="Z30" s="177"/>
      <c r="AB30" s="177"/>
      <c r="AC30" s="177"/>
    </row>
    <row r="31" spans="2:31" x14ac:dyDescent="0.25">
      <c r="D31" s="127"/>
      <c r="E31" s="127"/>
      <c r="F31" s="127"/>
      <c r="G31" s="127"/>
      <c r="I31" s="127"/>
      <c r="J31" s="127"/>
      <c r="K31" s="127"/>
      <c r="L31" s="127"/>
      <c r="N31" s="127"/>
      <c r="O31" s="127"/>
      <c r="P31" s="127"/>
      <c r="Q31" s="127"/>
      <c r="S31" s="182"/>
      <c r="T31" s="182"/>
      <c r="V31" s="182"/>
      <c r="W31" s="182"/>
      <c r="Y31" s="182"/>
      <c r="Z31" s="182"/>
      <c r="AB31" s="182"/>
      <c r="AC31" s="182"/>
    </row>
    <row r="32" spans="2:31" x14ac:dyDescent="0.25">
      <c r="B32" s="128" t="s">
        <v>219</v>
      </c>
      <c r="C32" s="8"/>
      <c r="D32" s="129"/>
      <c r="E32" s="130"/>
      <c r="F32" s="130"/>
      <c r="G32" s="130"/>
      <c r="H32" s="8"/>
      <c r="I32" s="130"/>
      <c r="J32" s="130"/>
      <c r="K32" s="130"/>
      <c r="L32" s="130"/>
      <c r="M32" s="8"/>
      <c r="N32" s="130"/>
      <c r="O32" s="130"/>
      <c r="P32" s="130"/>
      <c r="Q32" s="130"/>
      <c r="R32" s="8"/>
      <c r="S32" s="183"/>
      <c r="T32" s="183"/>
      <c r="U32" s="200"/>
      <c r="V32" s="183"/>
      <c r="W32" s="183"/>
      <c r="X32" s="200"/>
      <c r="Y32" s="183"/>
      <c r="Z32" s="183"/>
      <c r="AA32" s="200"/>
      <c r="AB32" s="183"/>
      <c r="AC32" s="183"/>
      <c r="AD32" s="8"/>
      <c r="AE32" s="8"/>
    </row>
    <row r="33" spans="2:32" ht="9" customHeight="1" x14ac:dyDescent="0.25">
      <c r="B33" s="128"/>
      <c r="C33" s="68"/>
      <c r="H33" s="68"/>
      <c r="M33" s="68"/>
      <c r="R33" s="68"/>
      <c r="S33" s="177"/>
      <c r="T33" s="177"/>
      <c r="U33" s="201"/>
      <c r="V33" s="177"/>
      <c r="W33" s="177"/>
      <c r="X33" s="201"/>
      <c r="Y33" s="177"/>
      <c r="Z33" s="177"/>
      <c r="AA33" s="201"/>
      <c r="AB33" s="177"/>
      <c r="AC33" s="177"/>
      <c r="AD33" s="68"/>
      <c r="AE33" s="68"/>
    </row>
    <row r="34" spans="2:32" ht="9" customHeight="1" x14ac:dyDescent="0.25">
      <c r="B34" s="128"/>
      <c r="C34" s="68"/>
      <c r="H34" s="68"/>
      <c r="M34" s="68"/>
      <c r="R34" s="68"/>
      <c r="S34" s="177"/>
      <c r="T34" s="177"/>
      <c r="U34" s="201"/>
      <c r="V34" s="177"/>
      <c r="W34" s="177"/>
      <c r="X34" s="201"/>
      <c r="Y34" s="177"/>
      <c r="Z34" s="177"/>
      <c r="AA34" s="201"/>
      <c r="AB34" s="177"/>
      <c r="AC34" s="177"/>
      <c r="AD34" s="68"/>
      <c r="AE34" s="68"/>
    </row>
    <row r="35" spans="2:32" x14ac:dyDescent="0.25">
      <c r="B35" s="126" t="s">
        <v>5</v>
      </c>
      <c r="C35" s="65"/>
      <c r="D35" s="65">
        <f>+D122</f>
        <v>2843.3284953498001</v>
      </c>
      <c r="E35" s="65">
        <f>+E122</f>
        <v>4160.8924920259997</v>
      </c>
      <c r="F35" s="65">
        <f>+F122</f>
        <v>0</v>
      </c>
      <c r="G35" s="65">
        <f>+G122</f>
        <v>0</v>
      </c>
      <c r="H35" s="65"/>
      <c r="I35" s="65">
        <f>+I122</f>
        <v>2923.8740000000003</v>
      </c>
      <c r="J35" s="65">
        <f>+J122</f>
        <v>4528.6579999999994</v>
      </c>
      <c r="K35" s="65">
        <f>+K122</f>
        <v>4943.7889999999998</v>
      </c>
      <c r="L35" s="65">
        <f>+L122</f>
        <v>3597.1925226449002</v>
      </c>
      <c r="M35" s="65"/>
      <c r="N35" s="65">
        <f>+N122</f>
        <v>2893.2979999999998</v>
      </c>
      <c r="O35" s="65">
        <f>+O122</f>
        <v>3965.6109999999999</v>
      </c>
      <c r="P35" s="65">
        <f>+P122</f>
        <v>4868.7710000000006</v>
      </c>
      <c r="Q35" s="65">
        <f>+Q122</f>
        <v>3551.9119014646039</v>
      </c>
      <c r="R35" s="65"/>
      <c r="S35" s="181">
        <f t="shared" ref="S35:T41" si="22">SUMIFS($C35:$R35,$C$7:$R$7,S$7,$C$6:$R$6,S$6)</f>
        <v>4160.8924920259997</v>
      </c>
      <c r="T35" s="181">
        <f t="shared" si="22"/>
        <v>4528.6579999999994</v>
      </c>
      <c r="U35" s="202"/>
      <c r="V35" s="181">
        <f t="shared" ref="V35:W41" si="23">SUMIF($C$1:$R$1,V$1,$C35:$R35)</f>
        <v>15545.202510020701</v>
      </c>
      <c r="W35" s="181">
        <f t="shared" si="23"/>
        <v>15873.214901464604</v>
      </c>
      <c r="Y35" s="181">
        <f t="shared" ref="Y35:Z40" si="24">SUMIFS($C35:$R35,$C$7:$R$7,VALUE(RIGHT(Y$7,4)),$C$1:$R$1,Y$1)</f>
        <v>7004.2209873758002</v>
      </c>
      <c r="Z35" s="181">
        <f t="shared" si="24"/>
        <v>7452.5319999999992</v>
      </c>
      <c r="AB35" s="181">
        <f t="shared" ref="AB35:AC41" si="25">SUMIF($C$7:$R$7,AB$7,$C35:$R35)</f>
        <v>15993.5135226449</v>
      </c>
      <c r="AC35" s="181">
        <f t="shared" si="25"/>
        <v>15279.591901464604</v>
      </c>
      <c r="AD35" s="65"/>
      <c r="AE35" s="65"/>
      <c r="AF35" s="120"/>
    </row>
    <row r="36" spans="2:32" ht="18" x14ac:dyDescent="0.25">
      <c r="B36" s="126" t="s">
        <v>220</v>
      </c>
      <c r="C36" s="65"/>
      <c r="D36" s="65">
        <f>+D93+D103+D111</f>
        <v>178.89799999999997</v>
      </c>
      <c r="E36" s="125">
        <f>+E93+E103+E111</f>
        <v>426.39699999999999</v>
      </c>
      <c r="F36" s="125">
        <f>+F93+F103+F111</f>
        <v>0</v>
      </c>
      <c r="G36" s="65">
        <f>+G93+G103+G111</f>
        <v>0</v>
      </c>
      <c r="H36" s="65"/>
      <c r="I36" s="65">
        <f>+I93+I103+I111</f>
        <v>216.55970000000002</v>
      </c>
      <c r="J36" s="125">
        <f>+J93+J103+J111</f>
        <v>398.03970000000004</v>
      </c>
      <c r="K36" s="125">
        <f>+K93+K103+K111</f>
        <v>514.93400000000008</v>
      </c>
      <c r="L36" s="65">
        <f>+L93+L103+L111</f>
        <v>203.94260000000003</v>
      </c>
      <c r="M36" s="65"/>
      <c r="N36" s="65">
        <f>+N93+N103+N111</f>
        <v>157.02940000000001</v>
      </c>
      <c r="O36" s="125">
        <f>+O93+O103+O111</f>
        <v>382.67019999999997</v>
      </c>
      <c r="P36" s="125">
        <f>+P93+P103+P111</f>
        <v>586.64800000000002</v>
      </c>
      <c r="Q36" s="125">
        <f>+Q93+Q103+Q111</f>
        <v>189.08950000000002</v>
      </c>
      <c r="R36" s="65"/>
      <c r="S36" s="181">
        <f t="shared" si="22"/>
        <v>426.39699999999999</v>
      </c>
      <c r="T36" s="181">
        <f t="shared" si="22"/>
        <v>398.03970000000004</v>
      </c>
      <c r="U36" s="202"/>
      <c r="V36" s="181">
        <f t="shared" si="23"/>
        <v>1324.1716000000001</v>
      </c>
      <c r="W36" s="181">
        <f t="shared" si="23"/>
        <v>1390.3369000000002</v>
      </c>
      <c r="Y36" s="181">
        <f t="shared" si="24"/>
        <v>605.29499999999996</v>
      </c>
      <c r="Z36" s="181">
        <f t="shared" si="24"/>
        <v>614.59940000000006</v>
      </c>
      <c r="AB36" s="181">
        <f t="shared" si="25"/>
        <v>1333.4760000000003</v>
      </c>
      <c r="AC36" s="181">
        <f t="shared" si="25"/>
        <v>1315.4371000000001</v>
      </c>
      <c r="AD36" s="65"/>
      <c r="AE36" s="65"/>
    </row>
    <row r="37" spans="2:32" x14ac:dyDescent="0.25">
      <c r="B37" s="126" t="s">
        <v>19</v>
      </c>
      <c r="C37" s="65"/>
      <c r="D37" s="125">
        <f>-D129</f>
        <v>-6.7268400000000002</v>
      </c>
      <c r="E37" s="125">
        <f>-E129</f>
        <v>-6.46028</v>
      </c>
      <c r="F37" s="125">
        <f>-F129</f>
        <v>0</v>
      </c>
      <c r="G37" s="125">
        <f>-G129</f>
        <v>0</v>
      </c>
      <c r="H37" s="65"/>
      <c r="I37" s="125">
        <f>-I129</f>
        <v>-7.1059999999999999</v>
      </c>
      <c r="J37" s="125">
        <f>-J129</f>
        <v>-0.20800000000000018</v>
      </c>
      <c r="K37" s="125">
        <f>-K129</f>
        <v>-6.7739999999999991</v>
      </c>
      <c r="L37" s="125">
        <f>-L129</f>
        <v>-6.1041800000000013</v>
      </c>
      <c r="M37" s="65"/>
      <c r="N37" s="125">
        <f>-N129</f>
        <v>-7.2190000000000003</v>
      </c>
      <c r="O37" s="125">
        <f>-O129</f>
        <v>-7.2529999999999992</v>
      </c>
      <c r="P37" s="125">
        <f>-P129</f>
        <v>-7.604000000000001</v>
      </c>
      <c r="Q37" s="125">
        <f>-Q129</f>
        <v>-10.674339999999994</v>
      </c>
      <c r="R37" s="65"/>
      <c r="S37" s="181">
        <f t="shared" si="22"/>
        <v>-6.46028</v>
      </c>
      <c r="T37" s="181">
        <f t="shared" si="22"/>
        <v>-0.20800000000000018</v>
      </c>
      <c r="U37" s="202"/>
      <c r="V37" s="181">
        <f t="shared" si="23"/>
        <v>-26.065300000000001</v>
      </c>
      <c r="W37" s="181">
        <f t="shared" si="23"/>
        <v>-25.592339999999993</v>
      </c>
      <c r="Y37" s="181">
        <f t="shared" si="24"/>
        <v>-13.18712</v>
      </c>
      <c r="Z37" s="181">
        <f t="shared" si="24"/>
        <v>-7.3140000000000001</v>
      </c>
      <c r="AB37" s="181">
        <f t="shared" si="25"/>
        <v>-20.19218</v>
      </c>
      <c r="AC37" s="181">
        <f t="shared" si="25"/>
        <v>-32.750339999999994</v>
      </c>
      <c r="AD37" s="65"/>
      <c r="AE37" s="65"/>
    </row>
    <row r="38" spans="2:32" x14ac:dyDescent="0.25">
      <c r="B38" s="126" t="s">
        <v>221</v>
      </c>
      <c r="C38" s="65"/>
      <c r="D38" s="65">
        <f>-99.704+4.9</f>
        <v>-94.803999999999988</v>
      </c>
      <c r="E38" s="65">
        <f>-108.282+4.9</f>
        <v>-103.38199999999999</v>
      </c>
      <c r="F38" s="125">
        <v>0</v>
      </c>
      <c r="G38" s="125">
        <v>0</v>
      </c>
      <c r="H38" s="65"/>
      <c r="I38" s="65">
        <v>-90.194000000000003</v>
      </c>
      <c r="J38" s="125">
        <v>-101.07299999999999</v>
      </c>
      <c r="K38" s="125">
        <v>-93.393000000000029</v>
      </c>
      <c r="L38" s="125">
        <f>-442.7676421823-SUM(I38:K38)</f>
        <v>-158.10764218229997</v>
      </c>
      <c r="M38" s="65"/>
      <c r="N38" s="65">
        <v>-73.759</v>
      </c>
      <c r="O38" s="125">
        <v>-63.447999999999993</v>
      </c>
      <c r="P38" s="125">
        <v>-57.491000000000014</v>
      </c>
      <c r="Q38" s="125">
        <f>-79.75+911.0396586219</f>
        <v>831.2896586219</v>
      </c>
      <c r="R38" s="65"/>
      <c r="S38" s="181">
        <f t="shared" si="22"/>
        <v>-103.38199999999999</v>
      </c>
      <c r="T38" s="181">
        <f t="shared" si="22"/>
        <v>-101.07299999999999</v>
      </c>
      <c r="U38" s="202"/>
      <c r="V38" s="181">
        <f t="shared" si="23"/>
        <v>-449.68664218229998</v>
      </c>
      <c r="W38" s="181">
        <f t="shared" si="23"/>
        <v>582.53165862189996</v>
      </c>
      <c r="Y38" s="181">
        <f t="shared" si="24"/>
        <v>-198.18599999999998</v>
      </c>
      <c r="Z38" s="181">
        <f t="shared" si="24"/>
        <v>-191.267</v>
      </c>
      <c r="AB38" s="181">
        <f t="shared" si="25"/>
        <v>-442.76764218229999</v>
      </c>
      <c r="AC38" s="181">
        <f t="shared" si="25"/>
        <v>636.59165862190002</v>
      </c>
      <c r="AD38" s="65"/>
      <c r="AE38" s="65"/>
    </row>
    <row r="39" spans="2:32" x14ac:dyDescent="0.25">
      <c r="B39" s="126" t="s">
        <v>222</v>
      </c>
      <c r="C39" s="65"/>
      <c r="D39" s="65">
        <v>-56.137</v>
      </c>
      <c r="E39" s="65">
        <v>-57.566000000000003</v>
      </c>
      <c r="F39" s="125">
        <v>0</v>
      </c>
      <c r="G39" s="125">
        <v>0</v>
      </c>
      <c r="H39" s="65"/>
      <c r="I39" s="65">
        <v>-61.756999999999998</v>
      </c>
      <c r="J39" s="125">
        <v>-61.036999999999999</v>
      </c>
      <c r="K39" s="125">
        <v>-60.221999999999994</v>
      </c>
      <c r="L39" s="125">
        <f>-218.280249576-SUM(I39:K39)</f>
        <v>-35.264249575999997</v>
      </c>
      <c r="M39" s="65"/>
      <c r="N39" s="65">
        <v>-59.966999999999999</v>
      </c>
      <c r="O39" s="125">
        <v>-62.448000000000008</v>
      </c>
      <c r="P39" s="125">
        <v>-57.707000000000008</v>
      </c>
      <c r="Q39" s="125">
        <v>-56.397999999999996</v>
      </c>
      <c r="R39" s="65"/>
      <c r="S39" s="181">
        <f t="shared" si="22"/>
        <v>-57.566000000000003</v>
      </c>
      <c r="T39" s="181">
        <f t="shared" si="22"/>
        <v>-61.036999999999999</v>
      </c>
      <c r="U39" s="202"/>
      <c r="V39" s="181">
        <f t="shared" si="23"/>
        <v>-209.18924957600001</v>
      </c>
      <c r="W39" s="181">
        <f t="shared" si="23"/>
        <v>-236.899</v>
      </c>
      <c r="Y39" s="181">
        <f t="shared" si="24"/>
        <v>-113.703</v>
      </c>
      <c r="Z39" s="181">
        <f t="shared" si="24"/>
        <v>-122.794</v>
      </c>
      <c r="AB39" s="181">
        <f t="shared" si="25"/>
        <v>-218.28024957599999</v>
      </c>
      <c r="AC39" s="181">
        <f t="shared" si="25"/>
        <v>-236.52</v>
      </c>
      <c r="AD39" s="65"/>
      <c r="AE39" s="65"/>
    </row>
    <row r="40" spans="2:32" x14ac:dyDescent="0.25">
      <c r="B40" s="126" t="s">
        <v>22</v>
      </c>
      <c r="C40" s="65"/>
      <c r="D40" s="65">
        <f>-D300</f>
        <v>-262.80099999999999</v>
      </c>
      <c r="E40" s="125">
        <f>-E300</f>
        <v>-201.97300000000001</v>
      </c>
      <c r="F40" s="125">
        <f t="shared" ref="F40:G40" si="26">-F300</f>
        <v>0</v>
      </c>
      <c r="G40" s="125">
        <f t="shared" si="26"/>
        <v>0</v>
      </c>
      <c r="H40" s="65"/>
      <c r="I40" s="65">
        <f t="shared" ref="I40:L40" si="27">-I300</f>
        <v>5.4703252902270094</v>
      </c>
      <c r="J40" s="125">
        <f t="shared" si="27"/>
        <v>-87.689651422408019</v>
      </c>
      <c r="K40" s="125">
        <f t="shared" si="27"/>
        <v>-225.25095648341133</v>
      </c>
      <c r="L40" s="125">
        <f t="shared" si="27"/>
        <v>-275.84925542601974</v>
      </c>
      <c r="M40" s="65"/>
      <c r="N40" s="65">
        <f t="shared" ref="N40:Q40" si="28">-N300</f>
        <v>-139.3883951604692</v>
      </c>
      <c r="O40" s="65">
        <f t="shared" si="28"/>
        <v>-110.74923740887027</v>
      </c>
      <c r="P40" s="65">
        <f t="shared" si="28"/>
        <v>121.39532046075136</v>
      </c>
      <c r="Q40" s="65">
        <f t="shared" si="28"/>
        <v>-988.015313874311</v>
      </c>
      <c r="R40" s="65"/>
      <c r="S40" s="181">
        <f t="shared" si="22"/>
        <v>-201.97300000000001</v>
      </c>
      <c r="T40" s="181">
        <f t="shared" si="22"/>
        <v>-87.689651422408019</v>
      </c>
      <c r="U40" s="202"/>
      <c r="V40" s="181">
        <f t="shared" si="23"/>
        <v>-965.8742119094311</v>
      </c>
      <c r="W40" s="181">
        <f t="shared" si="23"/>
        <v>-948.83931954574064</v>
      </c>
      <c r="Y40" s="181">
        <f t="shared" si="24"/>
        <v>-464.774</v>
      </c>
      <c r="Z40" s="181">
        <f t="shared" si="24"/>
        <v>-82.21932613218101</v>
      </c>
      <c r="AB40" s="181">
        <f t="shared" si="25"/>
        <v>-583.31953804161208</v>
      </c>
      <c r="AC40" s="181">
        <f t="shared" si="25"/>
        <v>-1116.7576259828991</v>
      </c>
      <c r="AD40" s="65"/>
      <c r="AE40" s="65"/>
    </row>
    <row r="41" spans="2:32" x14ac:dyDescent="0.25">
      <c r="B41" s="131" t="s">
        <v>23</v>
      </c>
      <c r="C41" s="65"/>
      <c r="D41" s="132">
        <f>+D132</f>
        <v>-241.32716094990013</v>
      </c>
      <c r="E41" s="133">
        <f>+E132</f>
        <v>57.015568005001143</v>
      </c>
      <c r="F41" s="133">
        <f>+F132</f>
        <v>0</v>
      </c>
      <c r="G41" s="133">
        <f>+G132</f>
        <v>0</v>
      </c>
      <c r="H41" s="65"/>
      <c r="I41" s="132">
        <f>+I132</f>
        <v>62.973000000000454</v>
      </c>
      <c r="J41" s="133">
        <f>+J132</f>
        <v>148.03199999999913</v>
      </c>
      <c r="K41" s="133">
        <f>+K132</f>
        <v>129.29399999999896</v>
      </c>
      <c r="L41" s="133">
        <f>+L132</f>
        <v>-271.38269692204682</v>
      </c>
      <c r="M41" s="65"/>
      <c r="N41" s="132">
        <f>+N132</f>
        <v>-123.30400000000006</v>
      </c>
      <c r="O41" s="133">
        <f t="shared" ref="O41:Q41" si="29">+O132</f>
        <v>138.77200000000019</v>
      </c>
      <c r="P41" s="133">
        <f t="shared" si="29"/>
        <v>585.24100000000112</v>
      </c>
      <c r="Q41" s="133">
        <f t="shared" si="29"/>
        <v>-34.708472120705693</v>
      </c>
      <c r="R41" s="65"/>
      <c r="S41" s="187">
        <f t="shared" si="22"/>
        <v>57.015568005001143</v>
      </c>
      <c r="T41" s="187">
        <f t="shared" si="22"/>
        <v>148.03199999999913</v>
      </c>
      <c r="U41" s="202"/>
      <c r="V41" s="187">
        <f t="shared" si="23"/>
        <v>-326.40028986694688</v>
      </c>
      <c r="W41" s="187">
        <f>SUMIF($C$1:$R$1,W$1,$C41:$R41)</f>
        <v>761.53752787929511</v>
      </c>
      <c r="X41" s="202"/>
      <c r="Y41" s="187">
        <f>+Y132</f>
        <v>-184.31159294489854</v>
      </c>
      <c r="Z41" s="187">
        <f>+Z132</f>
        <v>211.00499999999892</v>
      </c>
      <c r="AA41" s="202"/>
      <c r="AB41" s="187">
        <f>SUMIF($C$7:$R$7,AB$7,$C41:$R41)</f>
        <v>68.916303077951738</v>
      </c>
      <c r="AC41" s="187">
        <f t="shared" si="25"/>
        <v>566.00052787929553</v>
      </c>
      <c r="AD41" s="65"/>
      <c r="AE41" s="65"/>
    </row>
    <row r="42" spans="2:32" ht="9" customHeight="1" x14ac:dyDescent="0.25">
      <c r="B42" s="126"/>
      <c r="E42" s="69"/>
      <c r="F42" s="69"/>
      <c r="G42" s="69"/>
      <c r="J42" s="69"/>
      <c r="K42" s="69"/>
      <c r="L42" s="69"/>
      <c r="O42" s="69"/>
      <c r="P42" s="69"/>
      <c r="Q42" s="69"/>
      <c r="S42" s="177"/>
      <c r="T42" s="177"/>
      <c r="V42" s="177"/>
      <c r="W42" s="177"/>
      <c r="Y42" s="177"/>
      <c r="Z42" s="177"/>
      <c r="AB42" s="177"/>
      <c r="AC42" s="177"/>
    </row>
    <row r="43" spans="2:32" x14ac:dyDescent="0.25">
      <c r="B43" s="126" t="s">
        <v>24</v>
      </c>
      <c r="C43" s="65"/>
      <c r="D43" s="125">
        <f>+D136</f>
        <v>-39.867775702835957</v>
      </c>
      <c r="E43" s="125">
        <f>+E136</f>
        <v>-297.95587164593212</v>
      </c>
      <c r="F43" s="125">
        <f>+F136</f>
        <v>0</v>
      </c>
      <c r="G43" s="125">
        <f>+G136</f>
        <v>0</v>
      </c>
      <c r="H43" s="65"/>
      <c r="I43" s="125">
        <f>+I136</f>
        <v>-176.422</v>
      </c>
      <c r="J43" s="125">
        <f>+J136</f>
        <v>-80.702000000000027</v>
      </c>
      <c r="K43" s="125">
        <f>+K136</f>
        <v>-148.94499999999996</v>
      </c>
      <c r="L43" s="125">
        <f>+L136</f>
        <v>-111.54087838828997</v>
      </c>
      <c r="M43" s="65"/>
      <c r="N43" s="65">
        <v>-179.83100000000002</v>
      </c>
      <c r="O43" s="125">
        <v>-260.94499999999994</v>
      </c>
      <c r="P43" s="125">
        <v>-44.216000000000008</v>
      </c>
      <c r="Q43" s="125">
        <v>-75.115698935019395</v>
      </c>
      <c r="R43" s="65"/>
      <c r="S43" s="181">
        <f>SUMIFS($C43:$R43,$C$7:$R$7,S$7,$C$6:$R$6,S$6)</f>
        <v>-297.95587164593212</v>
      </c>
      <c r="T43" s="181">
        <f>SUMIFS($C43:$R43,$C$7:$R$7,T$7,$C$6:$R$6,T$6)</f>
        <v>-80.702000000000027</v>
      </c>
      <c r="U43" s="202"/>
      <c r="V43" s="181">
        <f>SUMIF($C$1:$R$1,V$1,$C43:$R43)</f>
        <v>-598.30952573705804</v>
      </c>
      <c r="W43" s="181">
        <f>SUMIF($C$1:$R$1,W$1,$C43:$R43)</f>
        <v>-376.45569893501943</v>
      </c>
      <c r="Y43" s="181">
        <f>SUMIFS($C43:$R43,$C$7:$R$7,VALUE(RIGHT(Y$7,4)),$C$1:$R$1,Y$1)</f>
        <v>-337.82364734876808</v>
      </c>
      <c r="Z43" s="181">
        <f>SUMIFS($C43:$R43,$C$7:$R$7,VALUE(RIGHT(Z$7,4)),$C$1:$R$1,Z$1)</f>
        <v>-257.12400000000002</v>
      </c>
      <c r="AB43" s="181">
        <f>SUMIF($C$7:$R$7,AB$7,$C43:$R43)</f>
        <v>-517.60987838828987</v>
      </c>
      <c r="AC43" s="181">
        <f>SUMIF($C$7:$R$7,AC$7,$C43:$R43)</f>
        <v>-560.10769893501936</v>
      </c>
      <c r="AD43" s="65"/>
      <c r="AE43" s="65"/>
    </row>
    <row r="44" spans="2:32" ht="9" customHeight="1" x14ac:dyDescent="0.25">
      <c r="B44" s="126"/>
      <c r="C44" s="65"/>
      <c r="D44" s="65"/>
      <c r="E44" s="125"/>
      <c r="F44" s="125"/>
      <c r="G44" s="125"/>
      <c r="H44" s="65"/>
      <c r="I44" s="65"/>
      <c r="J44" s="125"/>
      <c r="K44" s="125"/>
      <c r="L44" s="125"/>
      <c r="M44" s="65"/>
      <c r="N44" s="65"/>
      <c r="O44" s="125"/>
      <c r="P44" s="125"/>
      <c r="Q44" s="125"/>
      <c r="R44" s="65"/>
      <c r="S44" s="186"/>
      <c r="T44" s="186"/>
      <c r="U44" s="202"/>
      <c r="V44" s="186"/>
      <c r="W44" s="186"/>
      <c r="X44" s="202"/>
      <c r="Y44" s="186"/>
      <c r="Z44" s="186"/>
      <c r="AA44" s="202"/>
      <c r="AB44" s="186"/>
      <c r="AC44" s="186"/>
      <c r="AD44" s="65"/>
      <c r="AE44" s="65"/>
    </row>
    <row r="45" spans="2:32" x14ac:dyDescent="0.25">
      <c r="B45" s="131" t="s">
        <v>25</v>
      </c>
      <c r="C45" s="65"/>
      <c r="D45" s="132">
        <f>SUM(D41:D44)</f>
        <v>-281.19493665273609</v>
      </c>
      <c r="E45" s="133">
        <f>SUM(E41:E44)</f>
        <v>-240.94030364093098</v>
      </c>
      <c r="F45" s="133">
        <f>SUM(F41:F44)</f>
        <v>0</v>
      </c>
      <c r="G45" s="133">
        <f>SUM(G41:G44)</f>
        <v>0</v>
      </c>
      <c r="H45" s="65"/>
      <c r="I45" s="132">
        <f>SUM(I41:I44)</f>
        <v>-113.44899999999954</v>
      </c>
      <c r="J45" s="133">
        <f>SUM(J41:J44)</f>
        <v>67.329999999999103</v>
      </c>
      <c r="K45" s="133">
        <f>SUM(K41:K44)</f>
        <v>-19.651000000001005</v>
      </c>
      <c r="L45" s="133">
        <f>SUM(L41:L44)</f>
        <v>-382.92357531033679</v>
      </c>
      <c r="M45" s="65"/>
      <c r="N45" s="132">
        <f>SUM(N41:N44)</f>
        <v>-303.1350000000001</v>
      </c>
      <c r="O45" s="133">
        <f>SUM(O41:O44)</f>
        <v>-122.17299999999975</v>
      </c>
      <c r="P45" s="133">
        <f>SUM(P41:P44)</f>
        <v>541.02500000000111</v>
      </c>
      <c r="Q45" s="133">
        <f>SUM(Q41:Q44)</f>
        <v>-109.82417105572509</v>
      </c>
      <c r="R45" s="65"/>
      <c r="S45" s="188">
        <f t="shared" ref="S45:T45" si="30">SUM(S41:S44)</f>
        <v>-240.94030364093098</v>
      </c>
      <c r="T45" s="188">
        <f t="shared" si="30"/>
        <v>67.329999999999103</v>
      </c>
      <c r="U45" s="202"/>
      <c r="V45" s="188">
        <f t="shared" ref="V45:W45" si="31">SUM(V41:V44)</f>
        <v>-924.70981560400492</v>
      </c>
      <c r="W45" s="188">
        <f t="shared" si="31"/>
        <v>385.08182894427568</v>
      </c>
      <c r="X45" s="202"/>
      <c r="Y45" s="188">
        <f t="shared" ref="Y45:AC45" si="32">SUM(Y41:Y44)</f>
        <v>-522.13524029366658</v>
      </c>
      <c r="Z45" s="188">
        <f t="shared" ref="Z45" si="33">SUM(Z41:Z44)</f>
        <v>-46.119000000001108</v>
      </c>
      <c r="AA45" s="202"/>
      <c r="AB45" s="188">
        <f t="shared" si="32"/>
        <v>-448.69357531033813</v>
      </c>
      <c r="AC45" s="188">
        <f t="shared" si="32"/>
        <v>5.8928289442761752</v>
      </c>
      <c r="AD45" s="65"/>
      <c r="AE45" s="65"/>
    </row>
    <row r="46" spans="2:32" ht="9" customHeight="1" x14ac:dyDescent="0.25">
      <c r="B46" s="126"/>
      <c r="C46" s="65"/>
      <c r="D46" s="65"/>
      <c r="E46" s="125"/>
      <c r="F46" s="125"/>
      <c r="G46" s="125"/>
      <c r="H46" s="65"/>
      <c r="I46" s="65"/>
      <c r="J46" s="125"/>
      <c r="K46" s="125"/>
      <c r="L46" s="125"/>
      <c r="M46" s="65"/>
      <c r="N46" s="65"/>
      <c r="O46" s="125"/>
      <c r="P46" s="125"/>
      <c r="Q46" s="125"/>
      <c r="R46" s="65"/>
      <c r="S46" s="186"/>
      <c r="T46" s="186"/>
      <c r="U46" s="202"/>
      <c r="V46" s="186"/>
      <c r="W46" s="186"/>
      <c r="X46" s="202"/>
      <c r="Y46" s="186"/>
      <c r="Z46" s="186"/>
      <c r="AA46" s="202"/>
      <c r="AB46" s="186"/>
      <c r="AC46" s="186"/>
      <c r="AD46" s="65"/>
      <c r="AE46" s="65"/>
    </row>
    <row r="47" spans="2:32" x14ac:dyDescent="0.25">
      <c r="B47" s="126" t="s">
        <v>26</v>
      </c>
      <c r="C47" s="65"/>
      <c r="D47" s="65">
        <f>+D139</f>
        <v>-12.820697108971</v>
      </c>
      <c r="E47" s="65">
        <f>+E139</f>
        <v>-3.7493213078689962</v>
      </c>
      <c r="F47" s="65">
        <f>+F139</f>
        <v>0</v>
      </c>
      <c r="G47" s="65">
        <f>+G139</f>
        <v>0</v>
      </c>
      <c r="H47" s="65"/>
      <c r="I47" s="65">
        <f>+I139</f>
        <v>-6.0389999999999997</v>
      </c>
      <c r="J47" s="65">
        <f>+J139</f>
        <v>-4.8160000000000007</v>
      </c>
      <c r="K47" s="65">
        <f>+K139</f>
        <v>-6.9969999999999999</v>
      </c>
      <c r="L47" s="65">
        <f>+L139</f>
        <v>14.221920115403002</v>
      </c>
      <c r="M47" s="65"/>
      <c r="N47" s="65">
        <f>+N139</f>
        <v>1.9410000000000001</v>
      </c>
      <c r="O47" s="65">
        <f>+O139</f>
        <v>-5.9529999999999994</v>
      </c>
      <c r="P47" s="65">
        <f>+P139</f>
        <v>-14.076000000000001</v>
      </c>
      <c r="Q47" s="65">
        <f>+Q139</f>
        <v>603.86710545459994</v>
      </c>
      <c r="R47" s="65"/>
      <c r="S47" s="181">
        <f>SUMIFS($C47:$R47,$C$7:$R$7,S$7,$C$6:$R$6,S$6)</f>
        <v>-3.7493213078689962</v>
      </c>
      <c r="T47" s="181">
        <f>SUMIFS($C47:$R47,$C$7:$R$7,T$7,$C$6:$R$6,T$6)</f>
        <v>-4.8160000000000007</v>
      </c>
      <c r="U47" s="202"/>
      <c r="V47" s="181">
        <f>SUMIF($C$1:$R$1,V$1,$C47:$R47)</f>
        <v>-9.3450983014369946</v>
      </c>
      <c r="W47" s="181">
        <f>SUMIF($C$1:$R$1,W$1,$C47:$R47)</f>
        <v>578.9361054545999</v>
      </c>
      <c r="Y47" s="181">
        <f>SUMIFS($C47:$R47,$C$7:$R$7,VALUE(RIGHT(Y$7,4)),$C$1:$R$1,Y$1)</f>
        <v>-16.570018416839996</v>
      </c>
      <c r="Z47" s="181">
        <f>SUMIFS($C47:$R47,$C$7:$R$7,VALUE(RIGHT(Z$7,4)),$C$1:$R$1,Z$1)</f>
        <v>-10.855</v>
      </c>
      <c r="AB47" s="181">
        <f>SUMIF($C$7:$R$7,AB$7,$C47:$R47)</f>
        <v>-3.6300798845969986</v>
      </c>
      <c r="AC47" s="181">
        <f>SUMIF($C$7:$R$7,AC$7,$C47:$R47)</f>
        <v>585.77910545459997</v>
      </c>
      <c r="AD47" s="65"/>
      <c r="AE47" s="65"/>
    </row>
    <row r="48" spans="2:32" ht="9" customHeight="1" x14ac:dyDescent="0.25">
      <c r="B48" s="126"/>
      <c r="E48" s="69"/>
      <c r="F48" s="69"/>
      <c r="G48" s="69"/>
      <c r="J48" s="69"/>
      <c r="K48" s="69"/>
      <c r="L48" s="69"/>
      <c r="O48" s="69"/>
      <c r="P48" s="69"/>
      <c r="Q48" s="69"/>
      <c r="S48" s="177"/>
      <c r="T48" s="177"/>
      <c r="V48" s="177"/>
      <c r="W48" s="177"/>
      <c r="Y48" s="177"/>
      <c r="Z48" s="177"/>
      <c r="AB48" s="177"/>
      <c r="AC48" s="177"/>
    </row>
    <row r="49" spans="2:31" x14ac:dyDescent="0.25">
      <c r="B49" s="131" t="s">
        <v>223</v>
      </c>
      <c r="C49" s="65"/>
      <c r="D49" s="132">
        <f>SUM(D45:D48)</f>
        <v>-294.01563376170708</v>
      </c>
      <c r="E49" s="133">
        <f>SUM(E45:E48)</f>
        <v>-244.68962494879997</v>
      </c>
      <c r="F49" s="133">
        <f>SUM(F45:F48)</f>
        <v>0</v>
      </c>
      <c r="G49" s="133">
        <f>SUM(G45:G48)</f>
        <v>0</v>
      </c>
      <c r="H49" s="65"/>
      <c r="I49" s="132">
        <f>SUM(I45:I48)</f>
        <v>-119.48799999999954</v>
      </c>
      <c r="J49" s="133">
        <f>SUM(J45:J48)</f>
        <v>62.513999999999101</v>
      </c>
      <c r="K49" s="133">
        <f>SUM(K45:K48)</f>
        <v>-26.648000000001005</v>
      </c>
      <c r="L49" s="133">
        <f>SUM(L45:L48)</f>
        <v>-368.70165519493378</v>
      </c>
      <c r="M49" s="65"/>
      <c r="N49" s="132">
        <f>SUM(N45:N48)</f>
        <v>-301.19400000000013</v>
      </c>
      <c r="O49" s="133">
        <f>SUM(O45:O48)</f>
        <v>-128.12599999999975</v>
      </c>
      <c r="P49" s="133">
        <f>SUM(P45:P48)</f>
        <v>526.94900000000109</v>
      </c>
      <c r="Q49" s="133">
        <f>SUM(Q45:Q48)</f>
        <v>494.04293439887488</v>
      </c>
      <c r="R49" s="65"/>
      <c r="S49" s="188">
        <f t="shared" ref="S49:T49" si="34">SUM(S45:S48)</f>
        <v>-244.68962494879997</v>
      </c>
      <c r="T49" s="188">
        <f t="shared" si="34"/>
        <v>62.513999999999101</v>
      </c>
      <c r="U49" s="202"/>
      <c r="V49" s="188">
        <f>SUM(V45:V48)</f>
        <v>-934.05491390544194</v>
      </c>
      <c r="W49" s="188">
        <f>SUM(W45:W48)</f>
        <v>964.01793439887558</v>
      </c>
      <c r="X49" s="202"/>
      <c r="Y49" s="188">
        <f t="shared" ref="Y49:AC49" si="35">SUM(Y45:Y48)</f>
        <v>-538.70525871050654</v>
      </c>
      <c r="Z49" s="188">
        <f t="shared" ref="Z49" si="36">SUM(Z45:Z48)</f>
        <v>-56.974000000001112</v>
      </c>
      <c r="AA49" s="202"/>
      <c r="AB49" s="188">
        <f t="shared" si="35"/>
        <v>-452.32365519493516</v>
      </c>
      <c r="AC49" s="188">
        <f t="shared" si="35"/>
        <v>591.67193439887615</v>
      </c>
      <c r="AD49" s="65"/>
      <c r="AE49" s="65"/>
    </row>
    <row r="50" spans="2:31" x14ac:dyDescent="0.25">
      <c r="B50" s="126"/>
      <c r="S50" s="177"/>
      <c r="T50" s="177"/>
      <c r="V50" s="177"/>
      <c r="W50" s="177"/>
      <c r="Y50" s="177"/>
      <c r="Z50" s="177"/>
      <c r="AB50" s="177"/>
      <c r="AC50" s="177"/>
    </row>
    <row r="51" spans="2:31" x14ac:dyDescent="0.25">
      <c r="B51" s="126"/>
      <c r="S51" s="177"/>
      <c r="T51" s="177"/>
      <c r="V51" s="177"/>
      <c r="W51" s="177"/>
      <c r="Y51" s="177"/>
      <c r="Z51" s="177"/>
      <c r="AB51" s="177"/>
      <c r="AC51" s="177"/>
    </row>
    <row r="52" spans="2:31" x14ac:dyDescent="0.25">
      <c r="B52" s="126"/>
      <c r="S52" s="177"/>
      <c r="T52" s="177"/>
      <c r="V52" s="177"/>
      <c r="W52" s="177"/>
      <c r="Y52" s="177"/>
      <c r="Z52" s="177"/>
      <c r="AB52" s="177"/>
      <c r="AC52" s="177"/>
    </row>
    <row r="53" spans="2:31" x14ac:dyDescent="0.25">
      <c r="B53" s="128" t="s">
        <v>224</v>
      </c>
      <c r="D53" s="134"/>
      <c r="E53" s="134"/>
      <c r="F53" s="134"/>
      <c r="G53" s="134"/>
      <c r="I53" s="134"/>
      <c r="J53" s="134"/>
      <c r="K53" s="134"/>
      <c r="L53" s="134"/>
      <c r="N53" s="134"/>
      <c r="O53" s="134"/>
      <c r="P53" s="134"/>
      <c r="Q53" s="134"/>
      <c r="S53" s="189"/>
      <c r="T53" s="189"/>
      <c r="V53" s="189"/>
      <c r="W53" s="189"/>
      <c r="Y53" s="189"/>
      <c r="Z53" s="189"/>
      <c r="AB53" s="189"/>
      <c r="AC53" s="189"/>
    </row>
    <row r="54" spans="2:31" ht="9" customHeight="1" x14ac:dyDescent="0.25">
      <c r="B54" s="126"/>
      <c r="D54" s="135"/>
      <c r="E54" s="135"/>
      <c r="F54" s="135"/>
      <c r="G54" s="135"/>
      <c r="I54" s="135"/>
      <c r="J54" s="135"/>
      <c r="K54" s="135"/>
      <c r="L54" s="135"/>
      <c r="N54" s="135"/>
      <c r="O54" s="135"/>
      <c r="P54" s="135"/>
      <c r="Q54" s="135"/>
      <c r="S54" s="190"/>
      <c r="T54" s="190"/>
      <c r="V54" s="190"/>
      <c r="W54" s="190"/>
      <c r="Y54" s="190"/>
      <c r="Z54" s="190"/>
      <c r="AB54" s="190"/>
      <c r="AC54" s="190"/>
    </row>
    <row r="55" spans="2:31" x14ac:dyDescent="0.25">
      <c r="B55" s="126" t="s">
        <v>32</v>
      </c>
      <c r="D55" s="65">
        <f>+D187</f>
        <v>4810.3</v>
      </c>
      <c r="E55" s="65">
        <f>+E187</f>
        <v>4701.2999999999993</v>
      </c>
      <c r="F55" s="65">
        <f>+F187</f>
        <v>0</v>
      </c>
      <c r="G55" s="65">
        <f>+G187</f>
        <v>0</v>
      </c>
      <c r="I55" s="65">
        <f>+I187</f>
        <v>4924.1393039999984</v>
      </c>
      <c r="J55" s="65">
        <f>+J187</f>
        <v>4807.7579999999998</v>
      </c>
      <c r="K55" s="65">
        <f>+K187</f>
        <v>4728.6962469999999</v>
      </c>
      <c r="L55" s="65">
        <f>+L187</f>
        <v>4843.3999999999996</v>
      </c>
      <c r="N55" s="65">
        <f>N187</f>
        <v>3082.4264160000002</v>
      </c>
      <c r="O55" s="65">
        <f>O187</f>
        <v>3104.6439999999998</v>
      </c>
      <c r="P55" s="65">
        <f>P187</f>
        <v>3040.9252270000006</v>
      </c>
      <c r="Q55" s="65">
        <f>Q187</f>
        <v>4848.8730000000005</v>
      </c>
      <c r="S55" s="181">
        <f t="shared" ref="S55:T58" si="37">SUMIFS($C55:$R55,$C$7:$R$7,S$7,$C$6:$R$6,S$6)</f>
        <v>4701.2999999999993</v>
      </c>
      <c r="T55" s="181">
        <f t="shared" si="37"/>
        <v>4807.7579999999998</v>
      </c>
      <c r="V55" s="181">
        <f t="shared" ref="V55:W58" si="38">+S55</f>
        <v>4701.2999999999993</v>
      </c>
      <c r="W55" s="181">
        <f t="shared" si="38"/>
        <v>4807.7579999999998</v>
      </c>
      <c r="Y55" s="181">
        <f t="shared" ref="Y55:Z58" si="39">SUMIFS($C55:$R55,$C$7:$R$7,VALUE(RIGHT(Y$7,4)),$C$6:$R$6,Y$6)</f>
        <v>4701.2999999999993</v>
      </c>
      <c r="Z55" s="181">
        <f t="shared" si="39"/>
        <v>4807.7579999999998</v>
      </c>
      <c r="AB55" s="181">
        <f t="shared" ref="AB55:AC58" si="40">SUMIFS($C55:$R55,$C$7:$R$7,AB$7,$C$6:$R$6,AB$6)</f>
        <v>4843.3999999999996</v>
      </c>
      <c r="AC55" s="181">
        <f t="shared" si="40"/>
        <v>4848.8730000000005</v>
      </c>
    </row>
    <row r="56" spans="2:31" x14ac:dyDescent="0.25">
      <c r="B56" s="126" t="s">
        <v>33</v>
      </c>
      <c r="D56" s="65">
        <f>+D190</f>
        <v>2415.6999999999998</v>
      </c>
      <c r="E56" s="65">
        <f>+E190</f>
        <v>1893.5</v>
      </c>
      <c r="F56" s="65">
        <f>+F190</f>
        <v>0</v>
      </c>
      <c r="G56" s="65">
        <f>+G190</f>
        <v>0</v>
      </c>
      <c r="I56" s="65">
        <f>+I190</f>
        <v>1922.3369329999998</v>
      </c>
      <c r="J56" s="65">
        <f>+J190</f>
        <v>2568.136</v>
      </c>
      <c r="K56" s="65">
        <f>+K190</f>
        <v>2402.3179119999995</v>
      </c>
      <c r="L56" s="65">
        <f>+L190</f>
        <v>1772.5</v>
      </c>
      <c r="N56" s="65">
        <f>N190</f>
        <v>2527.042594</v>
      </c>
      <c r="O56" s="65">
        <f>O190</f>
        <v>2596.7530000000002</v>
      </c>
      <c r="P56" s="65">
        <f>P190</f>
        <v>3108.4703159999999</v>
      </c>
      <c r="Q56" s="65">
        <f>Q190</f>
        <v>1662.076</v>
      </c>
      <c r="S56" s="181">
        <f t="shared" si="37"/>
        <v>1893.5</v>
      </c>
      <c r="T56" s="181">
        <f t="shared" si="37"/>
        <v>2568.136</v>
      </c>
      <c r="V56" s="181">
        <f t="shared" si="38"/>
        <v>1893.5</v>
      </c>
      <c r="W56" s="181">
        <f t="shared" si="38"/>
        <v>2568.136</v>
      </c>
      <c r="Y56" s="181">
        <f t="shared" si="39"/>
        <v>1893.5</v>
      </c>
      <c r="Z56" s="181">
        <f t="shared" si="39"/>
        <v>2568.136</v>
      </c>
      <c r="AB56" s="181">
        <f t="shared" si="40"/>
        <v>1772.5</v>
      </c>
      <c r="AC56" s="181">
        <f t="shared" si="40"/>
        <v>1662.076</v>
      </c>
    </row>
    <row r="57" spans="2:31" x14ac:dyDescent="0.25">
      <c r="B57" s="126" t="s">
        <v>34</v>
      </c>
      <c r="D57" s="65">
        <f>D198-D190-D197</f>
        <v>2105.9999999999991</v>
      </c>
      <c r="E57" s="65">
        <f>E198-E190-E197</f>
        <v>2521.6999999999994</v>
      </c>
      <c r="F57" s="65">
        <f>F198-F190-F197</f>
        <v>0</v>
      </c>
      <c r="G57" s="65">
        <f>G198-G190-G197</f>
        <v>0</v>
      </c>
      <c r="I57" s="65">
        <f>I198-I190-I197</f>
        <v>3069.2026059999998</v>
      </c>
      <c r="J57" s="65">
        <f>J198-J190-J197</f>
        <v>3243.5290000000009</v>
      </c>
      <c r="K57" s="65">
        <f>K198-K190-K197</f>
        <v>2578.6926460000004</v>
      </c>
      <c r="L57" s="65">
        <f>L198-L190-L197</f>
        <v>2153.5</v>
      </c>
      <c r="N57" s="65">
        <f>N198-N190-N197</f>
        <v>2799.4000200000009</v>
      </c>
      <c r="O57" s="65">
        <f>O198-O190-O197</f>
        <v>3248.3589999999995</v>
      </c>
      <c r="P57" s="65">
        <f>P198-P190-P197</f>
        <v>3387.6000539999995</v>
      </c>
      <c r="Q57" s="65">
        <f>Q198-Q190-Q197</f>
        <v>2439.4229999999998</v>
      </c>
      <c r="S57" s="181">
        <f t="shared" si="37"/>
        <v>2521.6999999999994</v>
      </c>
      <c r="T57" s="181">
        <f t="shared" si="37"/>
        <v>3243.5290000000009</v>
      </c>
      <c r="V57" s="181">
        <f t="shared" si="38"/>
        <v>2521.6999999999994</v>
      </c>
      <c r="W57" s="181">
        <f t="shared" si="38"/>
        <v>3243.5290000000009</v>
      </c>
      <c r="Y57" s="181">
        <f t="shared" si="39"/>
        <v>2521.6999999999994</v>
      </c>
      <c r="Z57" s="181">
        <f t="shared" si="39"/>
        <v>3243.5290000000009</v>
      </c>
      <c r="AB57" s="181">
        <f t="shared" si="40"/>
        <v>2153.5</v>
      </c>
      <c r="AC57" s="181">
        <f t="shared" si="40"/>
        <v>2439.4229999999998</v>
      </c>
    </row>
    <row r="58" spans="2:31" x14ac:dyDescent="0.25">
      <c r="B58" s="126" t="s">
        <v>35</v>
      </c>
      <c r="D58" s="65">
        <f>D197</f>
        <v>558.79999999999995</v>
      </c>
      <c r="E58" s="65">
        <f>E197</f>
        <v>1229.0999999999999</v>
      </c>
      <c r="F58" s="65">
        <f>F197</f>
        <v>0</v>
      </c>
      <c r="G58" s="65">
        <f>G197</f>
        <v>0</v>
      </c>
      <c r="I58" s="65">
        <f>I197</f>
        <v>734.22508300000004</v>
      </c>
      <c r="J58" s="65">
        <f>J197</f>
        <v>645.88800000000003</v>
      </c>
      <c r="K58" s="65">
        <f>K197</f>
        <v>856.23566099999994</v>
      </c>
      <c r="L58" s="65">
        <f>L197</f>
        <v>1255</v>
      </c>
      <c r="N58" s="65">
        <f>N197</f>
        <v>1223.877225</v>
      </c>
      <c r="O58" s="65">
        <f>O197</f>
        <v>1015.371</v>
      </c>
      <c r="P58" s="65">
        <f>P197</f>
        <v>1021.7030600000001</v>
      </c>
      <c r="Q58" s="65">
        <f>Q197</f>
        <v>1229.6199999999999</v>
      </c>
      <c r="S58" s="181">
        <f t="shared" si="37"/>
        <v>1229.0999999999999</v>
      </c>
      <c r="T58" s="181">
        <f t="shared" si="37"/>
        <v>645.88800000000003</v>
      </c>
      <c r="V58" s="181">
        <f t="shared" si="38"/>
        <v>1229.0999999999999</v>
      </c>
      <c r="W58" s="181">
        <f t="shared" si="38"/>
        <v>645.88800000000003</v>
      </c>
      <c r="Y58" s="181">
        <f t="shared" si="39"/>
        <v>1229.0999999999999</v>
      </c>
      <c r="Z58" s="181">
        <f t="shared" si="39"/>
        <v>645.88800000000003</v>
      </c>
      <c r="AB58" s="181">
        <f t="shared" si="40"/>
        <v>1255</v>
      </c>
      <c r="AC58" s="181">
        <f t="shared" si="40"/>
        <v>1229.6199999999999</v>
      </c>
    </row>
    <row r="59" spans="2:31" ht="9" customHeight="1" x14ac:dyDescent="0.25">
      <c r="B59" s="126"/>
      <c r="S59" s="177"/>
      <c r="T59" s="177"/>
      <c r="V59" s="177"/>
      <c r="W59" s="177"/>
      <c r="Y59" s="177"/>
      <c r="Z59" s="177"/>
      <c r="AB59" s="177"/>
      <c r="AC59" s="177"/>
    </row>
    <row r="60" spans="2:31" x14ac:dyDescent="0.25">
      <c r="B60" s="131" t="s">
        <v>36</v>
      </c>
      <c r="D60" s="132">
        <f>SUM(D55:D58)</f>
        <v>9890.7999999999993</v>
      </c>
      <c r="E60" s="132">
        <f>SUM(E55:E58)</f>
        <v>10345.599999999999</v>
      </c>
      <c r="F60" s="132">
        <f>SUM(F55:F58)</f>
        <v>0</v>
      </c>
      <c r="G60" s="132">
        <f>SUM(G55:G58)</f>
        <v>0</v>
      </c>
      <c r="I60" s="132">
        <f>SUM(I55:I58)</f>
        <v>10649.903925999997</v>
      </c>
      <c r="J60" s="132">
        <f>SUM(J55:J58)</f>
        <v>11265.311000000002</v>
      </c>
      <c r="K60" s="132">
        <f>SUM(K55:K58)</f>
        <v>10565.942466</v>
      </c>
      <c r="L60" s="132">
        <f>SUM(L55:L58)</f>
        <v>10024.4</v>
      </c>
      <c r="N60" s="132">
        <f>SUM(N55:N58)</f>
        <v>9632.7462550000018</v>
      </c>
      <c r="O60" s="132">
        <f>SUM(O55:O58)</f>
        <v>9965.1269999999986</v>
      </c>
      <c r="P60" s="132">
        <f>SUM(P55:P58)</f>
        <v>10558.698657000001</v>
      </c>
      <c r="Q60" s="132">
        <f>SUM(Q55:Q58)</f>
        <v>10179.991999999998</v>
      </c>
      <c r="S60" s="187">
        <f>SUM(S55:S58)</f>
        <v>10345.599999999999</v>
      </c>
      <c r="T60" s="187">
        <f>SUM(T55:T58)</f>
        <v>11265.311000000002</v>
      </c>
      <c r="V60" s="187">
        <f>SUM(V55:V58)</f>
        <v>10345.599999999999</v>
      </c>
      <c r="W60" s="187">
        <f>SUM(W55:W58)</f>
        <v>11265.311000000002</v>
      </c>
      <c r="Y60" s="187">
        <f>SUM(Y55:Y58)</f>
        <v>10345.599999999999</v>
      </c>
      <c r="Z60" s="187">
        <f>SUM(Z55:Z58)</f>
        <v>11265.311000000002</v>
      </c>
      <c r="AB60" s="187">
        <f>SUM(AB55:AB58)</f>
        <v>10024.4</v>
      </c>
      <c r="AC60" s="187">
        <f>SUM(AC55:AC58)</f>
        <v>10179.991999999998</v>
      </c>
    </row>
    <row r="61" spans="2:31" ht="9" customHeight="1" x14ac:dyDescent="0.25">
      <c r="B61" s="126"/>
      <c r="S61" s="177"/>
      <c r="T61" s="177"/>
      <c r="V61" s="177"/>
      <c r="W61" s="177"/>
      <c r="Y61" s="177"/>
      <c r="Z61" s="177"/>
      <c r="AB61" s="177"/>
      <c r="AC61" s="177"/>
    </row>
    <row r="62" spans="2:31" x14ac:dyDescent="0.25">
      <c r="B62" s="126" t="s">
        <v>37</v>
      </c>
      <c r="D62" s="65">
        <f>D214</f>
        <v>614.50136286277848</v>
      </c>
      <c r="E62" s="65">
        <f>E214</f>
        <v>2284.1087412894926</v>
      </c>
      <c r="F62" s="65">
        <f>F214</f>
        <v>0</v>
      </c>
      <c r="G62" s="65">
        <f>G214</f>
        <v>0</v>
      </c>
      <c r="I62" s="65">
        <f>I214</f>
        <v>1195.848000000004</v>
      </c>
      <c r="J62" s="65">
        <f>J214</f>
        <v>1275.227000000004</v>
      </c>
      <c r="K62" s="65">
        <f>K214</f>
        <v>1191.3950000000029</v>
      </c>
      <c r="L62" s="65">
        <f>L214</f>
        <v>858.59999662448558</v>
      </c>
      <c r="N62" s="65">
        <f>N214</f>
        <v>540.82500000000368</v>
      </c>
      <c r="O62" s="65">
        <f>O214</f>
        <v>411.82300000000396</v>
      </c>
      <c r="P62" s="65">
        <f>P214</f>
        <v>936.45300000000498</v>
      </c>
      <c r="Q62" s="65">
        <f>Q214</f>
        <v>1266.1859343988801</v>
      </c>
      <c r="S62" s="181">
        <f t="shared" ref="S62:T66" si="41">SUMIFS($C62:$R62,$C$7:$R$7,S$7,$C$6:$R$6,S$6)</f>
        <v>2284.1087412894926</v>
      </c>
      <c r="T62" s="181">
        <f t="shared" si="41"/>
        <v>1275.227000000004</v>
      </c>
      <c r="V62" s="181">
        <f t="shared" ref="V62:V66" si="42">+S62</f>
        <v>2284.1087412894926</v>
      </c>
      <c r="W62" s="181">
        <f t="shared" ref="W62:W66" si="43">+T62</f>
        <v>1275.227000000004</v>
      </c>
      <c r="Y62" s="181">
        <f t="shared" ref="Y62:Z66" si="44">SUMIFS($C62:$R62,$C$7:$R$7,VALUE(RIGHT(Y$7,4)),$C$6:$R$6,Y$6)</f>
        <v>2284.1087412894926</v>
      </c>
      <c r="Z62" s="181">
        <f t="shared" si="44"/>
        <v>1275.227000000004</v>
      </c>
      <c r="AB62" s="181">
        <f t="shared" ref="AB62:AC66" si="45">SUMIFS($C62:$R62,$C$7:$R$7,AB$7,$C$6:$R$6,AB$6)</f>
        <v>858.59999662448558</v>
      </c>
      <c r="AC62" s="181">
        <f t="shared" si="45"/>
        <v>1266.1859343988801</v>
      </c>
    </row>
    <row r="63" spans="2:31" x14ac:dyDescent="0.25">
      <c r="B63" s="63" t="s">
        <v>38</v>
      </c>
      <c r="D63" s="65">
        <f>D221</f>
        <v>5268.6</v>
      </c>
      <c r="E63" s="65">
        <f>E221</f>
        <v>4689.8</v>
      </c>
      <c r="F63" s="65">
        <f t="shared" ref="F63:G63" si="46">F221</f>
        <v>0</v>
      </c>
      <c r="G63" s="65">
        <f t="shared" si="46"/>
        <v>0</v>
      </c>
      <c r="I63" s="65">
        <f>I221</f>
        <v>5493.005932</v>
      </c>
      <c r="J63" s="65">
        <f>J221</f>
        <v>5390.7990000000009</v>
      </c>
      <c r="K63" s="65">
        <f t="shared" ref="K63:L63" si="47">K221</f>
        <v>5243.9651979999999</v>
      </c>
      <c r="L63" s="65">
        <f t="shared" si="47"/>
        <v>5327.8980000000001</v>
      </c>
      <c r="N63" s="65">
        <f>N221</f>
        <v>6635.147242</v>
      </c>
      <c r="O63" s="65">
        <f>O221</f>
        <v>7019.2199999999993</v>
      </c>
      <c r="P63" s="65">
        <f>P221</f>
        <v>7023.7388410000003</v>
      </c>
      <c r="Q63" s="65">
        <f>Q221</f>
        <v>6250.63</v>
      </c>
      <c r="S63" s="181">
        <f t="shared" si="41"/>
        <v>4689.8</v>
      </c>
      <c r="T63" s="181">
        <f t="shared" si="41"/>
        <v>5390.7990000000009</v>
      </c>
      <c r="V63" s="181">
        <f t="shared" si="42"/>
        <v>4689.8</v>
      </c>
      <c r="W63" s="181">
        <f t="shared" si="43"/>
        <v>5390.7990000000009</v>
      </c>
      <c r="Y63" s="181">
        <f t="shared" si="44"/>
        <v>4689.8</v>
      </c>
      <c r="Z63" s="181">
        <f t="shared" si="44"/>
        <v>5390.7990000000009</v>
      </c>
      <c r="AB63" s="181">
        <f t="shared" si="45"/>
        <v>5327.8980000000001</v>
      </c>
      <c r="AC63" s="181">
        <f t="shared" si="45"/>
        <v>6250.63</v>
      </c>
    </row>
    <row r="64" spans="2:31" x14ac:dyDescent="0.25">
      <c r="B64" s="63" t="s">
        <v>39</v>
      </c>
      <c r="D64" s="65">
        <f>D227</f>
        <v>303.892</v>
      </c>
      <c r="E64" s="65">
        <f>E227</f>
        <v>230.61699999999999</v>
      </c>
      <c r="F64" s="65">
        <f>F227</f>
        <v>0</v>
      </c>
      <c r="G64" s="65">
        <f>G227</f>
        <v>0</v>
      </c>
      <c r="I64" s="65">
        <f>I227</f>
        <v>601.90769899999998</v>
      </c>
      <c r="J64" s="65">
        <f>J227</f>
        <v>462.26799999999997</v>
      </c>
      <c r="K64" s="65">
        <f>K227</f>
        <v>428.8968880000001</v>
      </c>
      <c r="L64" s="65">
        <f>L227</f>
        <v>387</v>
      </c>
      <c r="N64" s="65">
        <f>N227</f>
        <v>675.70912600000008</v>
      </c>
      <c r="O64" s="65">
        <f>O227</f>
        <v>577.48800000000006</v>
      </c>
      <c r="P64" s="65">
        <f>P227</f>
        <v>399.4627799999999</v>
      </c>
      <c r="Q64" s="65">
        <f>Q227</f>
        <v>514.33199999999988</v>
      </c>
      <c r="S64" s="181">
        <f t="shared" si="41"/>
        <v>230.61699999999999</v>
      </c>
      <c r="T64" s="181">
        <f t="shared" si="41"/>
        <v>462.26799999999997</v>
      </c>
      <c r="V64" s="181">
        <f t="shared" si="42"/>
        <v>230.61699999999999</v>
      </c>
      <c r="W64" s="181">
        <f t="shared" si="43"/>
        <v>462.26799999999997</v>
      </c>
      <c r="Y64" s="181">
        <f t="shared" si="44"/>
        <v>230.61699999999999</v>
      </c>
      <c r="Z64" s="181">
        <f t="shared" si="44"/>
        <v>462.26799999999997</v>
      </c>
      <c r="AB64" s="181">
        <f t="shared" si="45"/>
        <v>387</v>
      </c>
      <c r="AC64" s="181">
        <f t="shared" si="45"/>
        <v>514.33199999999988</v>
      </c>
    </row>
    <row r="65" spans="2:29" x14ac:dyDescent="0.25">
      <c r="B65" s="63" t="s">
        <v>40</v>
      </c>
      <c r="D65" s="125">
        <f>D235</f>
        <v>1842.7</v>
      </c>
      <c r="E65" s="125">
        <f>E235</f>
        <v>1083.5999999999999</v>
      </c>
      <c r="F65" s="125">
        <f>F235</f>
        <v>0</v>
      </c>
      <c r="G65" s="125">
        <f>G235</f>
        <v>0</v>
      </c>
      <c r="I65" s="125">
        <f>I235</f>
        <v>1919.670153</v>
      </c>
      <c r="J65" s="125">
        <f>J235</f>
        <v>2511.5329999999999</v>
      </c>
      <c r="K65" s="125">
        <f>K235</f>
        <v>1763.1930209999998</v>
      </c>
      <c r="L65" s="125">
        <f>L235</f>
        <v>1554.1420000000001</v>
      </c>
      <c r="N65" s="125">
        <f>N235</f>
        <v>365.28000000000003</v>
      </c>
      <c r="O65" s="125">
        <f>O235</f>
        <v>355.18399999999997</v>
      </c>
      <c r="P65" s="125">
        <f>P235</f>
        <v>391.03800000000001</v>
      </c>
      <c r="Q65" s="125">
        <f>Q235</f>
        <v>377.57399999999996</v>
      </c>
      <c r="S65" s="181">
        <f t="shared" si="41"/>
        <v>1083.5999999999999</v>
      </c>
      <c r="T65" s="181">
        <f t="shared" si="41"/>
        <v>2511.5329999999999</v>
      </c>
      <c r="V65" s="181">
        <f t="shared" si="42"/>
        <v>1083.5999999999999</v>
      </c>
      <c r="W65" s="181">
        <f t="shared" si="43"/>
        <v>2511.5329999999999</v>
      </c>
      <c r="Y65" s="181">
        <f t="shared" si="44"/>
        <v>1083.5999999999999</v>
      </c>
      <c r="Z65" s="181">
        <f t="shared" si="44"/>
        <v>2511.5329999999999</v>
      </c>
      <c r="AB65" s="181">
        <f t="shared" si="45"/>
        <v>1554.1420000000001</v>
      </c>
      <c r="AC65" s="181">
        <f t="shared" si="45"/>
        <v>377.57399999999996</v>
      </c>
    </row>
    <row r="66" spans="2:29" x14ac:dyDescent="0.25">
      <c r="B66" s="63" t="s">
        <v>41</v>
      </c>
      <c r="D66" s="65">
        <f>D245</f>
        <v>1861.1080000000002</v>
      </c>
      <c r="E66" s="65">
        <f>E245</f>
        <v>2057.5830000000001</v>
      </c>
      <c r="F66" s="65">
        <f>F245</f>
        <v>0</v>
      </c>
      <c r="G66" s="65">
        <f>G245</f>
        <v>0</v>
      </c>
      <c r="I66" s="65">
        <f>I245</f>
        <v>1439.465661</v>
      </c>
      <c r="J66" s="65">
        <f>J245</f>
        <v>1625.4749999999999</v>
      </c>
      <c r="K66" s="65">
        <f>K245</f>
        <v>1938.485842</v>
      </c>
      <c r="L66" s="65">
        <f>L245</f>
        <v>1896.7</v>
      </c>
      <c r="N66" s="65">
        <f>N245</f>
        <v>1415.78286</v>
      </c>
      <c r="O66" s="65">
        <f>O245</f>
        <v>1601.4029999999998</v>
      </c>
      <c r="P66" s="65">
        <f>P245</f>
        <v>1808.0028929999999</v>
      </c>
      <c r="Q66" s="65">
        <f>Q245</f>
        <v>1771.193</v>
      </c>
      <c r="S66" s="181">
        <f t="shared" si="41"/>
        <v>2057.5830000000001</v>
      </c>
      <c r="T66" s="181">
        <f t="shared" si="41"/>
        <v>1625.4749999999999</v>
      </c>
      <c r="V66" s="181">
        <f t="shared" si="42"/>
        <v>2057.5830000000001</v>
      </c>
      <c r="W66" s="181">
        <f t="shared" si="43"/>
        <v>1625.4749999999999</v>
      </c>
      <c r="Y66" s="181">
        <f t="shared" si="44"/>
        <v>2057.5830000000001</v>
      </c>
      <c r="Z66" s="181">
        <f t="shared" si="44"/>
        <v>1625.4749999999999</v>
      </c>
      <c r="AB66" s="181">
        <f t="shared" si="45"/>
        <v>1896.7</v>
      </c>
      <c r="AC66" s="181">
        <f t="shared" si="45"/>
        <v>1771.193</v>
      </c>
    </row>
    <row r="67" spans="2:29" ht="9" customHeight="1" x14ac:dyDescent="0.25">
      <c r="B67" s="126"/>
      <c r="S67" s="177"/>
      <c r="T67" s="177"/>
      <c r="V67" s="177"/>
      <c r="W67" s="177"/>
      <c r="Y67" s="177"/>
      <c r="Z67" s="177"/>
      <c r="AB67" s="177"/>
      <c r="AC67" s="177"/>
    </row>
    <row r="68" spans="2:29" x14ac:dyDescent="0.25">
      <c r="B68" s="131" t="s">
        <v>42</v>
      </c>
      <c r="D68" s="132">
        <f>SUM(D62:D66)</f>
        <v>9890.8013628627778</v>
      </c>
      <c r="E68" s="132">
        <f>SUM(E62:E66)</f>
        <v>10345.708741289494</v>
      </c>
      <c r="F68" s="132">
        <f>SUM(F62:F66)</f>
        <v>0</v>
      </c>
      <c r="G68" s="132">
        <f>SUM(G62:G66)</f>
        <v>0</v>
      </c>
      <c r="I68" s="132">
        <f>SUM(I62:I66)</f>
        <v>10649.897445000004</v>
      </c>
      <c r="J68" s="132">
        <f>SUM(J62:J66)</f>
        <v>11265.302000000005</v>
      </c>
      <c r="K68" s="132">
        <f>SUM(K62:K66)</f>
        <v>10565.935949000002</v>
      </c>
      <c r="L68" s="132">
        <f>SUM(L62:L66)</f>
        <v>10024.339996624485</v>
      </c>
      <c r="N68" s="132">
        <f>SUM(N62:N66)</f>
        <v>9632.7442280000032</v>
      </c>
      <c r="O68" s="132">
        <f>SUM(O62:O66)</f>
        <v>9965.118000000004</v>
      </c>
      <c r="P68" s="132">
        <f>SUM(P62:P66)</f>
        <v>10558.695514000006</v>
      </c>
      <c r="Q68" s="132">
        <f>SUM(Q62:Q66)</f>
        <v>10179.914934398879</v>
      </c>
      <c r="S68" s="187">
        <f>SUM(S62:S66)</f>
        <v>10345.708741289494</v>
      </c>
      <c r="T68" s="187">
        <f>SUM(T62:T66)</f>
        <v>11265.302000000005</v>
      </c>
      <c r="V68" s="187">
        <f>SUM(V62:V66)</f>
        <v>10345.708741289494</v>
      </c>
      <c r="W68" s="187">
        <f>SUM(W62:W66)</f>
        <v>11265.302000000005</v>
      </c>
      <c r="Y68" s="187">
        <f>SUM(Y62:Y66)</f>
        <v>10345.708741289494</v>
      </c>
      <c r="Z68" s="187">
        <f>SUM(Z62:Z66)</f>
        <v>11265.302000000005</v>
      </c>
      <c r="AB68" s="187">
        <f>SUM(AB62:AB66)</f>
        <v>10024.339996624485</v>
      </c>
      <c r="AC68" s="187">
        <f>SUM(AC62:AC66)</f>
        <v>10179.914934398879</v>
      </c>
    </row>
    <row r="69" spans="2:29" x14ac:dyDescent="0.25">
      <c r="B69" s="126"/>
      <c r="S69" s="177"/>
      <c r="T69" s="177"/>
      <c r="V69" s="177"/>
      <c r="W69" s="177"/>
      <c r="Y69" s="177"/>
      <c r="Z69" s="177"/>
      <c r="AB69" s="177"/>
      <c r="AC69" s="177"/>
    </row>
    <row r="70" spans="2:29" x14ac:dyDescent="0.25">
      <c r="B70" s="126"/>
      <c r="D70" s="136"/>
      <c r="E70" s="136"/>
      <c r="F70" s="136"/>
      <c r="G70" s="136"/>
      <c r="I70" s="136"/>
      <c r="J70" s="136"/>
      <c r="K70" s="136"/>
      <c r="L70" s="136"/>
      <c r="N70" s="136"/>
      <c r="O70" s="136"/>
      <c r="P70" s="136"/>
      <c r="Q70" s="136"/>
      <c r="S70" s="176"/>
      <c r="T70" s="176"/>
      <c r="V70" s="176"/>
      <c r="W70" s="176"/>
      <c r="Y70" s="176"/>
      <c r="Z70" s="176"/>
      <c r="AB70" s="176"/>
      <c r="AC70" s="176"/>
    </row>
    <row r="71" spans="2:29" x14ac:dyDescent="0.25">
      <c r="B71" s="128" t="s">
        <v>225</v>
      </c>
      <c r="D71" s="135"/>
      <c r="E71" s="135"/>
      <c r="F71" s="135"/>
      <c r="G71" s="135"/>
      <c r="I71" s="135"/>
      <c r="J71" s="135"/>
      <c r="K71" s="135"/>
      <c r="L71" s="135"/>
      <c r="N71" s="135"/>
      <c r="O71" s="135"/>
      <c r="P71" s="135"/>
      <c r="Q71" s="135"/>
      <c r="S71" s="190"/>
      <c r="T71" s="190"/>
      <c r="V71" s="190"/>
      <c r="W71" s="190"/>
      <c r="Y71" s="190"/>
      <c r="Z71" s="190"/>
      <c r="AB71" s="190"/>
      <c r="AC71" s="190"/>
    </row>
    <row r="72" spans="2:29" ht="9" customHeight="1" x14ac:dyDescent="0.25">
      <c r="B72" s="126"/>
      <c r="S72" s="177"/>
      <c r="T72" s="177"/>
      <c r="V72" s="177"/>
      <c r="W72" s="177"/>
      <c r="Y72" s="177"/>
      <c r="Z72" s="177"/>
      <c r="AB72" s="177"/>
      <c r="AC72" s="177"/>
    </row>
    <row r="73" spans="2:29" x14ac:dyDescent="0.25">
      <c r="B73" s="126" t="s">
        <v>44</v>
      </c>
      <c r="D73" s="65">
        <f>+D258</f>
        <v>-189.21993665273607</v>
      </c>
      <c r="E73" s="65">
        <f>+E258</f>
        <v>11.462936652736106</v>
      </c>
      <c r="F73" s="65">
        <f>+F258</f>
        <v>0</v>
      </c>
      <c r="G73" s="65">
        <f>+G258</f>
        <v>0</v>
      </c>
      <c r="I73" s="65">
        <f>+I258</f>
        <v>56.790000000000454</v>
      </c>
      <c r="J73" s="65">
        <f>+J258</f>
        <v>80.483999999999114</v>
      </c>
      <c r="K73" s="65">
        <f>+K258</f>
        <v>163.41399999999894</v>
      </c>
      <c r="L73" s="65">
        <f>+L258</f>
        <v>136.71342468966336</v>
      </c>
      <c r="N73" s="65">
        <f>+N258</f>
        <v>-140.08300000000011</v>
      </c>
      <c r="O73" s="65">
        <f>+O258</f>
        <v>275.71800000000025</v>
      </c>
      <c r="P73" s="65">
        <f>+P258</f>
        <v>659.59700000000112</v>
      </c>
      <c r="Q73" s="65">
        <f>+Q258</f>
        <v>-494.1831710557251</v>
      </c>
      <c r="S73" s="181">
        <f t="shared" ref="S73:T75" si="48">SUMIFS($C73:$R73,$C$7:$R$7,S$7,$C$6:$R$6,S$6)</f>
        <v>11.462936652736106</v>
      </c>
      <c r="T73" s="181">
        <f t="shared" si="48"/>
        <v>80.483999999999114</v>
      </c>
      <c r="V73" s="181">
        <f t="shared" ref="V73:W75" si="49">SUMIF($C$1:$R$1,V$1,$C73:$R73)</f>
        <v>122.37042468966234</v>
      </c>
      <c r="W73" s="181">
        <f t="shared" si="49"/>
        <v>302.68782894427557</v>
      </c>
      <c r="Y73" s="181">
        <f t="shared" ref="Y73:Z75" si="50">SUMIFS($C73:$R73,$C$7:$R$7,VALUE(RIGHT(Y$7,4)),$C$1:$R$1,Y$1)</f>
        <v>-177.75699999999995</v>
      </c>
      <c r="Z73" s="181">
        <f t="shared" si="50"/>
        <v>137.27399999999957</v>
      </c>
      <c r="AB73" s="181">
        <f t="shared" ref="AB73:AC75" si="51">SUMIF($C$7:$R$7,AB$7,$C73:$R73)</f>
        <v>437.40142468966189</v>
      </c>
      <c r="AC73" s="181">
        <f t="shared" si="51"/>
        <v>301.04882894427612</v>
      </c>
    </row>
    <row r="74" spans="2:29" x14ac:dyDescent="0.25">
      <c r="B74" s="126" t="s">
        <v>45</v>
      </c>
      <c r="D74" s="65">
        <f>+D264</f>
        <v>-590.38099999999997</v>
      </c>
      <c r="E74" s="65">
        <f>+E264</f>
        <v>155.61900000000003</v>
      </c>
      <c r="F74" s="65">
        <f>+F264</f>
        <v>0</v>
      </c>
      <c r="G74" s="65">
        <f>+G264</f>
        <v>0</v>
      </c>
      <c r="I74" s="65">
        <f>+I264</f>
        <v>-639.61680100000001</v>
      </c>
      <c r="J74" s="65">
        <f>+J264</f>
        <v>-624.65870000000007</v>
      </c>
      <c r="K74" s="65">
        <f>+K264</f>
        <v>1051.8264939999999</v>
      </c>
      <c r="L74" s="65">
        <f>+L264</f>
        <v>826.45500700000025</v>
      </c>
      <c r="N74" s="65">
        <f>+N264</f>
        <v>-269.99012999999997</v>
      </c>
      <c r="O74" s="65">
        <f>+O264</f>
        <v>-327.15320000000003</v>
      </c>
      <c r="P74" s="65">
        <f>+P264</f>
        <v>-494.64997599999992</v>
      </c>
      <c r="Q74" s="65">
        <f>+Q264</f>
        <v>1890.9233059999999</v>
      </c>
      <c r="S74" s="181">
        <f t="shared" si="48"/>
        <v>155.61900000000003</v>
      </c>
      <c r="T74" s="181">
        <f t="shared" si="48"/>
        <v>-624.65870000000007</v>
      </c>
      <c r="V74" s="181">
        <f t="shared" si="49"/>
        <v>1443.5195010000002</v>
      </c>
      <c r="W74" s="181">
        <f t="shared" si="49"/>
        <v>131.99782899999991</v>
      </c>
      <c r="Y74" s="181">
        <f t="shared" si="50"/>
        <v>-434.76199999999994</v>
      </c>
      <c r="Z74" s="181">
        <f t="shared" si="50"/>
        <v>-1264.2755010000001</v>
      </c>
      <c r="AB74" s="181">
        <f t="shared" si="51"/>
        <v>614.00600000000009</v>
      </c>
      <c r="AC74" s="181">
        <f t="shared" si="51"/>
        <v>799.12999999999988</v>
      </c>
    </row>
    <row r="75" spans="2:29" x14ac:dyDescent="0.25">
      <c r="B75" s="126" t="s">
        <v>46</v>
      </c>
      <c r="D75" s="65">
        <f>SUM(D73:D74)</f>
        <v>-779.60093665273598</v>
      </c>
      <c r="E75" s="65">
        <f>SUM(E73:E74)</f>
        <v>167.08193665273615</v>
      </c>
      <c r="F75" s="65">
        <f>SUM(F73:F74)</f>
        <v>0</v>
      </c>
      <c r="G75" s="65">
        <f>SUM(G73:G74)</f>
        <v>0</v>
      </c>
      <c r="I75" s="65">
        <f>SUM(I73:I74)</f>
        <v>-582.82680099999959</v>
      </c>
      <c r="J75" s="65">
        <f>SUM(J73:J74)</f>
        <v>-544.17470000000094</v>
      </c>
      <c r="K75" s="65">
        <f>SUM(K73:K74)</f>
        <v>1215.2404939999988</v>
      </c>
      <c r="L75" s="65">
        <f>SUM(L73:L74)</f>
        <v>963.16843168966363</v>
      </c>
      <c r="N75" s="65">
        <f>SUM(N73:N74)</f>
        <v>-410.07313000000011</v>
      </c>
      <c r="O75" s="65">
        <f>SUM(O73:O74)</f>
        <v>-51.435199999999782</v>
      </c>
      <c r="P75" s="65">
        <f>SUM(P73:P74)</f>
        <v>164.94702400000119</v>
      </c>
      <c r="Q75" s="65">
        <f>SUM(Q73:Q74)</f>
        <v>1396.7401349442748</v>
      </c>
      <c r="S75" s="181">
        <f t="shared" si="48"/>
        <v>167.08193665273615</v>
      </c>
      <c r="T75" s="181">
        <f t="shared" si="48"/>
        <v>-544.17470000000094</v>
      </c>
      <c r="V75" s="181">
        <f t="shared" si="49"/>
        <v>1565.8899256896625</v>
      </c>
      <c r="W75" s="181">
        <f t="shared" si="49"/>
        <v>434.68565794427536</v>
      </c>
      <c r="Y75" s="181">
        <f t="shared" si="50"/>
        <v>-612.51899999999978</v>
      </c>
      <c r="Z75" s="181">
        <f t="shared" si="50"/>
        <v>-1127.0015010000006</v>
      </c>
      <c r="AB75" s="181">
        <f t="shared" si="51"/>
        <v>1051.4074246896616</v>
      </c>
      <c r="AC75" s="181">
        <f t="shared" si="51"/>
        <v>1100.1788289442761</v>
      </c>
    </row>
    <row r="76" spans="2:29" ht="9" customHeight="1" x14ac:dyDescent="0.25">
      <c r="B76" s="126"/>
      <c r="S76" s="177"/>
      <c r="T76" s="177"/>
      <c r="V76" s="177"/>
      <c r="W76" s="177"/>
      <c r="Y76" s="177"/>
      <c r="Z76" s="177"/>
      <c r="AB76" s="177"/>
      <c r="AC76" s="177"/>
    </row>
    <row r="77" spans="2:29" x14ac:dyDescent="0.25">
      <c r="B77" s="126" t="s">
        <v>47</v>
      </c>
      <c r="D77" s="65">
        <f>+D273</f>
        <v>-73.408000000000001</v>
      </c>
      <c r="E77" s="65">
        <f>+E273</f>
        <v>-84.123000000000005</v>
      </c>
      <c r="F77" s="65">
        <f>+F273</f>
        <v>0</v>
      </c>
      <c r="G77" s="65">
        <f>+G273</f>
        <v>0</v>
      </c>
      <c r="I77" s="65">
        <f>+I273</f>
        <v>-75.625</v>
      </c>
      <c r="J77" s="65">
        <f>+J273</f>
        <v>-52.931999999999995</v>
      </c>
      <c r="K77" s="65">
        <f>+K273</f>
        <v>-65.419999999999987</v>
      </c>
      <c r="L77" s="65">
        <f>+L273</f>
        <v>-168.83500000000004</v>
      </c>
      <c r="N77" s="65">
        <f>+N273</f>
        <v>-63.25</v>
      </c>
      <c r="O77" s="65">
        <f>+O273</f>
        <v>-74.509999999999977</v>
      </c>
      <c r="P77" s="65">
        <f>+P273</f>
        <v>-103.58200000000001</v>
      </c>
      <c r="Q77" s="65">
        <f>+Q273</f>
        <v>-358.28700000000003</v>
      </c>
      <c r="S77" s="181">
        <f>SUMIFS($C77:$R77,$C$7:$R$7,S$7,$C$6:$R$6,S$6)</f>
        <v>-84.123000000000005</v>
      </c>
      <c r="T77" s="181">
        <f>SUMIFS($C77:$R77,$C$7:$R$7,T$7,$C$6:$R$6,T$6)</f>
        <v>-52.931999999999995</v>
      </c>
      <c r="V77" s="181">
        <f>SUMIF($C$1:$R$1,V$1,$C77:$R77)</f>
        <v>-391.78600000000006</v>
      </c>
      <c r="W77" s="181">
        <f>SUMIF($C$1:$R$1,W$1,$C77:$R77)</f>
        <v>-590.42600000000004</v>
      </c>
      <c r="Y77" s="181">
        <f>SUMIFS($C77:$R77,$C$7:$R$7,VALUE(RIGHT(Y$7,4)),$C$1:$R$1,Y$1)</f>
        <v>-157.53100000000001</v>
      </c>
      <c r="Z77" s="181">
        <f>SUMIFS($C77:$R77,$C$7:$R$7,VALUE(RIGHT(Z$7,4)),$C$1:$R$1,Z$1)</f>
        <v>-128.55699999999999</v>
      </c>
      <c r="AB77" s="181">
        <f t="shared" ref="AB77:AC78" si="52">SUMIF($C$7:$R$7,AB$7,$C77:$R77)</f>
        <v>-362.81200000000001</v>
      </c>
      <c r="AC77" s="181">
        <f t="shared" si="52"/>
        <v>-599.62900000000002</v>
      </c>
    </row>
    <row r="78" spans="2:29" x14ac:dyDescent="0.25">
      <c r="B78" s="126" t="s">
        <v>48</v>
      </c>
      <c r="D78" s="65">
        <f>D75+D77</f>
        <v>-853.008936652736</v>
      </c>
      <c r="E78" s="65">
        <f>E75+E77</f>
        <v>82.958936652736142</v>
      </c>
      <c r="F78" s="65">
        <f>F75+F77</f>
        <v>0</v>
      </c>
      <c r="G78" s="65">
        <f>G75+G77</f>
        <v>0</v>
      </c>
      <c r="I78" s="65">
        <f>I75+I77</f>
        <v>-658.45180099999959</v>
      </c>
      <c r="J78" s="65">
        <f>J75+J77</f>
        <v>-597.10670000000096</v>
      </c>
      <c r="K78" s="65">
        <f>K75+K77</f>
        <v>1149.8204939999987</v>
      </c>
      <c r="L78" s="65">
        <f>L75+L77</f>
        <v>794.3334316896636</v>
      </c>
      <c r="N78" s="65">
        <f>N75+N77</f>
        <v>-473.32313000000011</v>
      </c>
      <c r="O78" s="65">
        <f>O75+O77</f>
        <v>-125.94519999999976</v>
      </c>
      <c r="P78" s="65">
        <f>P75+P77</f>
        <v>61.365024000001185</v>
      </c>
      <c r="Q78" s="65">
        <f>Q75+Q77</f>
        <v>1038.4531349442748</v>
      </c>
      <c r="S78" s="181">
        <f>SUMIFS($C78:$R78,$C$7:$R$7,S$7,$C$6:$R$6,S$6)</f>
        <v>82.958936652736142</v>
      </c>
      <c r="T78" s="181">
        <f>SUMIFS($C78:$R78,$C$7:$R$7,T$7,$C$6:$R$6,T$6)</f>
        <v>-597.10670000000096</v>
      </c>
      <c r="V78" s="181">
        <f>SUMIF($C$1:$R$1,V$1,$C78:$R78)</f>
        <v>1174.1039256896624</v>
      </c>
      <c r="W78" s="181">
        <f>SUMIF($C$1:$R$1,W$1,$C78:$R78)</f>
        <v>-155.74034205572457</v>
      </c>
      <c r="Y78" s="181">
        <f>SUMIFS($C78:$R78,$C$7:$R$7,VALUE(RIGHT(Y$7,4)),$C$1:$R$1,Y$1)</f>
        <v>-770.04999999999984</v>
      </c>
      <c r="Z78" s="181">
        <f>SUMIFS($C78:$R78,$C$7:$R$7,VALUE(RIGHT(Z$7,4)),$C$1:$R$1,Z$1)</f>
        <v>-1255.5585010000004</v>
      </c>
      <c r="AB78" s="181">
        <f t="shared" si="52"/>
        <v>688.59542468966185</v>
      </c>
      <c r="AC78" s="181">
        <f t="shared" si="52"/>
        <v>500.5498289442761</v>
      </c>
    </row>
    <row r="79" spans="2:29" ht="9" customHeight="1" x14ac:dyDescent="0.25">
      <c r="B79" s="126"/>
      <c r="S79" s="177"/>
      <c r="T79" s="177"/>
      <c r="V79" s="177"/>
      <c r="W79" s="177"/>
      <c r="Y79" s="177"/>
      <c r="Z79" s="177"/>
      <c r="AB79" s="177"/>
      <c r="AC79" s="177"/>
    </row>
    <row r="80" spans="2:29" x14ac:dyDescent="0.25">
      <c r="B80" s="126" t="s">
        <v>189</v>
      </c>
      <c r="D80" s="65">
        <f>+D281+D286</f>
        <v>156.70799999999994</v>
      </c>
      <c r="E80" s="65">
        <f>+E281+E286</f>
        <v>587.34100000000058</v>
      </c>
      <c r="F80" s="65">
        <f>+F281+F286</f>
        <v>0</v>
      </c>
      <c r="G80" s="65">
        <f>+G281+G286</f>
        <v>0</v>
      </c>
      <c r="I80" s="65">
        <f>+I281+I286</f>
        <v>163.05780100000001</v>
      </c>
      <c r="J80" s="65">
        <f>+J281+J286</f>
        <v>508.76969999999994</v>
      </c>
      <c r="K80" s="65">
        <f>+K281+K286</f>
        <v>-939.4724940000001</v>
      </c>
      <c r="L80" s="65">
        <f>+L281+L286</f>
        <v>-395.68086699999986</v>
      </c>
      <c r="N80" s="65">
        <f>+N281+N286</f>
        <v>345.25912999999997</v>
      </c>
      <c r="O80" s="65">
        <f>+O281+O286</f>
        <v>-73.52679999999998</v>
      </c>
      <c r="P80" s="65">
        <f>+P281+P286</f>
        <v>-53.076023999999983</v>
      </c>
      <c r="Q80" s="65">
        <f>+Q281+Q286</f>
        <v>-830.63230599999997</v>
      </c>
      <c r="S80" s="181">
        <f t="shared" ref="S80:T81" si="53">SUMIFS($C80:$R80,$C$7:$R$7,S$7,$C$6:$R$6,S$6)</f>
        <v>587.34100000000058</v>
      </c>
      <c r="T80" s="181">
        <f t="shared" si="53"/>
        <v>508.76969999999994</v>
      </c>
      <c r="V80" s="181">
        <f t="shared" ref="V80:W81" si="54">SUMIF($C$1:$R$1,V$1,$C80:$R80)</f>
        <v>-591.10436099999947</v>
      </c>
      <c r="W80" s="181">
        <f t="shared" si="54"/>
        <v>-211.88082899999995</v>
      </c>
      <c r="Y80" s="181">
        <f>SUMIFS($C80:$R80,$C$7:$R$7,VALUE(RIGHT(Y$7,4)),$C$1:$R$1,Y$1)</f>
        <v>744.04900000000055</v>
      </c>
      <c r="Z80" s="181">
        <f>SUMIFS($C80:$R80,$C$7:$R$7,VALUE(RIGHT(Z$7,4)),$C$1:$R$1,Z$1)</f>
        <v>671.82750099999998</v>
      </c>
      <c r="AB80" s="181">
        <f t="shared" ref="AB80:AC81" si="55">SUMIF($C$7:$R$7,AB$7,$C80:$R80)</f>
        <v>-663.32585999999992</v>
      </c>
      <c r="AC80" s="181">
        <f t="shared" si="55"/>
        <v>-611.976</v>
      </c>
    </row>
    <row r="81" spans="2:29" x14ac:dyDescent="0.25">
      <c r="B81" s="126" t="s">
        <v>192</v>
      </c>
      <c r="D81" s="125" t="s">
        <v>8</v>
      </c>
      <c r="E81" s="125" t="s">
        <v>8</v>
      </c>
      <c r="F81" s="125" t="s">
        <v>8</v>
      </c>
      <c r="G81" s="125" t="s">
        <v>8</v>
      </c>
      <c r="I81" s="125" t="s">
        <v>8</v>
      </c>
      <c r="J81" s="125" t="s">
        <v>8</v>
      </c>
      <c r="K81" s="125" t="s">
        <v>8</v>
      </c>
      <c r="L81" s="125" t="s">
        <v>8</v>
      </c>
      <c r="N81" s="125" t="s">
        <v>8</v>
      </c>
      <c r="O81" s="125" t="s">
        <v>8</v>
      </c>
      <c r="P81" s="125" t="s">
        <v>8</v>
      </c>
      <c r="Q81" s="125" t="s">
        <v>8</v>
      </c>
      <c r="S81" s="181">
        <f t="shared" si="53"/>
        <v>0</v>
      </c>
      <c r="T81" s="181">
        <f t="shared" si="53"/>
        <v>0</v>
      </c>
      <c r="V81" s="181">
        <f t="shared" si="54"/>
        <v>0</v>
      </c>
      <c r="W81" s="181">
        <f t="shared" si="54"/>
        <v>0</v>
      </c>
      <c r="Y81" s="181">
        <f>SUMIFS($C81:$R81,$C$7:$R$7,VALUE(RIGHT(Y$7,4)),$C$1:$R$1,Y$1)</f>
        <v>0</v>
      </c>
      <c r="Z81" s="181">
        <f>SUMIFS($C81:$R81,$C$7:$R$7,VALUE(RIGHT(Z$7,4)),$C$1:$R$1,Z$1)</f>
        <v>0</v>
      </c>
      <c r="AB81" s="181">
        <f t="shared" si="55"/>
        <v>0</v>
      </c>
      <c r="AC81" s="181">
        <f t="shared" si="55"/>
        <v>0</v>
      </c>
    </row>
    <row r="82" spans="2:29" x14ac:dyDescent="0.25">
      <c r="B82" s="126" t="s">
        <v>51</v>
      </c>
      <c r="D82" s="65">
        <f>D78+D80</f>
        <v>-696.30093665273603</v>
      </c>
      <c r="E82" s="65">
        <f>E78+E80</f>
        <v>670.29993665273673</v>
      </c>
      <c r="F82" s="65">
        <f>F78+F80</f>
        <v>0</v>
      </c>
      <c r="G82" s="65">
        <f>G78+G80</f>
        <v>0</v>
      </c>
      <c r="I82" s="65">
        <f t="shared" ref="I82:L82" si="56">I78+I80</f>
        <v>-495.39399999999955</v>
      </c>
      <c r="J82" s="65">
        <f t="shared" si="56"/>
        <v>-88.337000000001012</v>
      </c>
      <c r="K82" s="65">
        <f t="shared" si="56"/>
        <v>210.34799999999859</v>
      </c>
      <c r="L82" s="65">
        <f t="shared" si="56"/>
        <v>398.65256468966373</v>
      </c>
      <c r="N82" s="65">
        <f t="shared" ref="N82:Q82" si="57">N78+N80</f>
        <v>-128.06400000000014</v>
      </c>
      <c r="O82" s="65">
        <f t="shared" si="57"/>
        <v>-199.47199999999975</v>
      </c>
      <c r="P82" s="65">
        <f t="shared" si="57"/>
        <v>8.2890000000012023</v>
      </c>
      <c r="Q82" s="65">
        <f t="shared" si="57"/>
        <v>207.82082894427481</v>
      </c>
      <c r="S82" s="186">
        <f t="shared" ref="S82:T82" si="58">S78+S80</f>
        <v>670.29993665273673</v>
      </c>
      <c r="T82" s="186">
        <f t="shared" si="58"/>
        <v>-88.337000000001012</v>
      </c>
      <c r="V82" s="186">
        <f t="shared" ref="V82:W82" si="59">V78+V80</f>
        <v>582.99956468966298</v>
      </c>
      <c r="W82" s="186">
        <f t="shared" si="59"/>
        <v>-367.62117105572452</v>
      </c>
      <c r="Y82" s="186">
        <f t="shared" ref="Y82:AC82" si="60">Y78+Y80</f>
        <v>-26.000999999999294</v>
      </c>
      <c r="Z82" s="186">
        <f t="shared" si="60"/>
        <v>-583.73100000000045</v>
      </c>
      <c r="AB82" s="186">
        <f t="shared" si="60"/>
        <v>25.269564689661934</v>
      </c>
      <c r="AC82" s="186">
        <f t="shared" si="60"/>
        <v>-111.4261710557239</v>
      </c>
    </row>
    <row r="83" spans="2:29" ht="9" customHeight="1" x14ac:dyDescent="0.25">
      <c r="B83" s="126"/>
      <c r="S83" s="177"/>
      <c r="T83" s="177"/>
      <c r="V83" s="177"/>
      <c r="W83" s="177"/>
      <c r="Y83" s="177"/>
      <c r="Z83" s="177"/>
      <c r="AB83" s="177"/>
      <c r="AC83" s="177"/>
    </row>
    <row r="84" spans="2:29" x14ac:dyDescent="0.25">
      <c r="B84" s="131" t="s">
        <v>52</v>
      </c>
      <c r="D84" s="132">
        <f>+L84+D82</f>
        <v>557.54245698120189</v>
      </c>
      <c r="E84" s="132">
        <f>IF(E$10=0,0,D84+E82)</f>
        <v>1227.8423936339386</v>
      </c>
      <c r="F84" s="132">
        <f>IF(F$10=0,0,E84+F82)</f>
        <v>0</v>
      </c>
      <c r="G84" s="132">
        <f>IF(G$10=0,0,F84+G82)</f>
        <v>0</v>
      </c>
      <c r="I84" s="132">
        <f>+Q84+I82-1</f>
        <v>733.17982894427655</v>
      </c>
      <c r="J84" s="132">
        <f>+I84+J82</f>
        <v>644.84282894427554</v>
      </c>
      <c r="K84" s="132">
        <f>+J84+K82</f>
        <v>855.19082894427413</v>
      </c>
      <c r="L84" s="132">
        <f>+K84+L82</f>
        <v>1253.8433936339379</v>
      </c>
      <c r="N84" s="132">
        <f>1341+N82</f>
        <v>1212.9359999999999</v>
      </c>
      <c r="O84" s="132">
        <f>+N84+O82</f>
        <v>1013.4640000000002</v>
      </c>
      <c r="P84" s="132">
        <f>+O84+P82</f>
        <v>1021.7530000000014</v>
      </c>
      <c r="Q84" s="132">
        <f>+P84+Q82</f>
        <v>1229.5738289442761</v>
      </c>
      <c r="S84" s="188">
        <f t="shared" ref="S84:T84" si="61">SUMIFS($C84:$R84,$C$7:$R$7,S$7,$C$6:$R$6,S$6)</f>
        <v>1227.8423936339386</v>
      </c>
      <c r="T84" s="188">
        <f t="shared" si="61"/>
        <v>644.84282894427554</v>
      </c>
      <c r="V84" s="188">
        <f t="shared" ref="V84" si="62">+S84</f>
        <v>1227.8423936339386</v>
      </c>
      <c r="W84" s="188">
        <f t="shared" ref="W84" si="63">+T84</f>
        <v>644.84282894427554</v>
      </c>
      <c r="Y84" s="188">
        <f t="shared" ref="Y84:Z84" si="64">SUMIFS($C84:$R84,$C$7:$R$7,VALUE(RIGHT(Y$7,4)),$C$6:$R$6,Y$6)</f>
        <v>1227.8423936339386</v>
      </c>
      <c r="Z84" s="188">
        <f t="shared" si="64"/>
        <v>644.84282894427554</v>
      </c>
      <c r="AB84" s="188">
        <f t="shared" ref="AB84:AC84" si="65">SUMIFS($C84:$R84,$C$7:$R$7,AB$7,$C$6:$R$6,AB$6)</f>
        <v>1253.8433936339379</v>
      </c>
      <c r="AC84" s="188">
        <f t="shared" si="65"/>
        <v>1229.5738289442761</v>
      </c>
    </row>
    <row r="85" spans="2:29" x14ac:dyDescent="0.25">
      <c r="B85" s="126"/>
      <c r="S85" s="177"/>
      <c r="T85" s="177"/>
      <c r="V85" s="177"/>
      <c r="W85" s="177"/>
      <c r="Y85" s="177"/>
      <c r="Z85" s="177"/>
      <c r="AB85" s="177"/>
      <c r="AC85" s="177"/>
    </row>
    <row r="86" spans="2:29" x14ac:dyDescent="0.25">
      <c r="B86" s="126"/>
      <c r="D86" s="1">
        <f>+D90-D91</f>
        <v>113.40300000000001</v>
      </c>
      <c r="E86" s="1">
        <f>+E90-E91</f>
        <v>112.337</v>
      </c>
      <c r="I86" s="1">
        <f t="shared" ref="I86:L86" si="66">+I90-I91</f>
        <v>100.82900000000001</v>
      </c>
      <c r="J86" s="1">
        <f t="shared" si="66"/>
        <v>108.494</v>
      </c>
      <c r="K86" s="1">
        <f t="shared" si="66"/>
        <v>109.99499999999999</v>
      </c>
      <c r="L86" s="1">
        <f t="shared" si="66"/>
        <v>118.65300000000001</v>
      </c>
      <c r="N86" s="1">
        <f t="shared" ref="N86:Q86" si="67">+N90-N91</f>
        <v>103.54300000000001</v>
      </c>
      <c r="O86" s="1">
        <f t="shared" si="67"/>
        <v>100.90100000000001</v>
      </c>
      <c r="P86" s="1">
        <f t="shared" si="67"/>
        <v>108.825</v>
      </c>
      <c r="Q86" s="1">
        <f t="shared" si="67"/>
        <v>96.489000000000004</v>
      </c>
      <c r="S86" s="177"/>
      <c r="T86" s="177"/>
      <c r="V86" s="177"/>
      <c r="W86" s="177"/>
      <c r="Y86" s="177"/>
      <c r="Z86" s="177"/>
      <c r="AB86" s="177"/>
      <c r="AC86" s="177"/>
    </row>
    <row r="87" spans="2:29" x14ac:dyDescent="0.25">
      <c r="B87" s="126"/>
      <c r="D87" s="1">
        <f>+D100-D101</f>
        <v>182.702</v>
      </c>
      <c r="E87" s="1">
        <f>+E100-E101</f>
        <v>440.06799999999998</v>
      </c>
      <c r="I87" s="1">
        <f t="shared" ref="I87:L87" si="68">+I100-I101</f>
        <v>209.43299999999999</v>
      </c>
      <c r="J87" s="1">
        <f t="shared" si="68"/>
        <v>405.23200000000003</v>
      </c>
      <c r="K87" s="1">
        <f t="shared" si="68"/>
        <v>480.05599999999998</v>
      </c>
      <c r="L87" s="1">
        <f t="shared" si="68"/>
        <v>286.54899999999998</v>
      </c>
      <c r="N87" s="1">
        <f t="shared" ref="N87:Q87" si="69">+N100-N101</f>
        <v>170.33199999999999</v>
      </c>
      <c r="O87" s="1">
        <f t="shared" si="69"/>
        <v>349.03800000000001</v>
      </c>
      <c r="P87" s="1">
        <f t="shared" si="69"/>
        <v>398.35300000000001</v>
      </c>
      <c r="Q87" s="1">
        <f t="shared" si="69"/>
        <v>246.69399999999999</v>
      </c>
      <c r="S87" s="177"/>
      <c r="T87" s="177"/>
      <c r="V87" s="177"/>
      <c r="W87" s="177"/>
      <c r="Y87" s="177"/>
      <c r="Z87" s="177"/>
      <c r="AB87" s="177"/>
      <c r="AC87" s="177"/>
    </row>
    <row r="88" spans="2:29" x14ac:dyDescent="0.25">
      <c r="B88" s="10" t="s">
        <v>60</v>
      </c>
      <c r="S88" s="77"/>
      <c r="T88" s="77"/>
      <c r="V88" s="77"/>
      <c r="W88" s="77"/>
      <c r="Y88" s="77"/>
      <c r="Z88" s="77"/>
      <c r="AB88" s="177"/>
      <c r="AC88" s="177"/>
    </row>
    <row r="89" spans="2:29" x14ac:dyDescent="0.25">
      <c r="B89" s="13" t="s">
        <v>5</v>
      </c>
      <c r="D89" s="1">
        <v>1651.7360000000001</v>
      </c>
      <c r="E89" s="1">
        <v>1551.289</v>
      </c>
      <c r="F89" s="1"/>
      <c r="G89" s="1"/>
      <c r="I89" s="1">
        <v>1423.0350000000001</v>
      </c>
      <c r="J89" s="1">
        <v>1643.2570000000001</v>
      </c>
      <c r="K89" s="1">
        <v>1658.095</v>
      </c>
      <c r="L89" s="1">
        <f>6433.357-SUM(I89:K89)</f>
        <v>1708.9699999999993</v>
      </c>
      <c r="N89" s="1">
        <v>1671.327</v>
      </c>
      <c r="O89" s="1">
        <v>1542.56</v>
      </c>
      <c r="P89" s="1">
        <v>1663.152</v>
      </c>
      <c r="Q89" s="1">
        <v>1485.508</v>
      </c>
      <c r="S89" s="181">
        <f t="shared" ref="S89:T95" si="70">SUMIFS($C89:$R89,$C$7:$R$7,S$7,$C$6:$R$6,S$6)</f>
        <v>1551.289</v>
      </c>
      <c r="T89" s="181">
        <f t="shared" si="70"/>
        <v>1643.2570000000001</v>
      </c>
      <c r="V89" s="181">
        <f t="shared" ref="V89:W95" si="71">SUMIF($C$1:$R$1,V$1,$C89:$R89)</f>
        <v>6570.0899999999992</v>
      </c>
      <c r="W89" s="181">
        <f t="shared" si="71"/>
        <v>6214.9520000000002</v>
      </c>
      <c r="Y89" s="181">
        <f t="shared" ref="Y89:Z95" si="72">SUMIFS($C89:$R89,$C$7:$R$7,VALUE(RIGHT(Y$7,4)),$C$1:$R$1,Y$1)</f>
        <v>3203.0250000000001</v>
      </c>
      <c r="Z89" s="181">
        <f t="shared" si="72"/>
        <v>3066.2920000000004</v>
      </c>
      <c r="AB89" s="181">
        <f t="shared" ref="AB89:AC95" si="73">SUMIF($C$7:$R$7,AB$7,$C89:$R89)</f>
        <v>6433.357</v>
      </c>
      <c r="AC89" s="181">
        <f t="shared" si="73"/>
        <v>6362.5469999999996</v>
      </c>
    </row>
    <row r="90" spans="2:29" x14ac:dyDescent="0.25">
      <c r="B90" s="13" t="s">
        <v>226</v>
      </c>
      <c r="D90" s="1">
        <v>114.652</v>
      </c>
      <c r="E90" s="1">
        <v>113.91</v>
      </c>
      <c r="F90" s="1"/>
      <c r="G90" s="1"/>
      <c r="I90" s="1">
        <v>105.447</v>
      </c>
      <c r="J90" s="1">
        <v>108.494</v>
      </c>
      <c r="K90" s="1">
        <v>111.24299999999999</v>
      </c>
      <c r="L90" s="1">
        <v>120.114</v>
      </c>
      <c r="N90" s="1">
        <v>105.741</v>
      </c>
      <c r="O90" s="1">
        <v>102.43300000000001</v>
      </c>
      <c r="P90" s="1">
        <v>109.76</v>
      </c>
      <c r="Q90" s="1">
        <v>96.489000000000004</v>
      </c>
      <c r="S90" s="181">
        <f t="shared" si="70"/>
        <v>113.91</v>
      </c>
      <c r="T90" s="181">
        <f t="shared" si="70"/>
        <v>108.494</v>
      </c>
      <c r="V90" s="181">
        <f t="shared" si="71"/>
        <v>459.91899999999998</v>
      </c>
      <c r="W90" s="181">
        <f t="shared" si="71"/>
        <v>420.19000000000005</v>
      </c>
      <c r="Y90" s="181">
        <f t="shared" si="72"/>
        <v>228.56200000000001</v>
      </c>
      <c r="Z90" s="181">
        <f t="shared" si="72"/>
        <v>213.941</v>
      </c>
      <c r="AB90" s="181">
        <f t="shared" si="73"/>
        <v>445.298</v>
      </c>
      <c r="AC90" s="181">
        <f t="shared" si="73"/>
        <v>414.423</v>
      </c>
    </row>
    <row r="91" spans="2:29" x14ac:dyDescent="0.25">
      <c r="B91" s="158" t="s">
        <v>227</v>
      </c>
      <c r="C91" s="70"/>
      <c r="D91" s="137">
        <v>1.2490000000000001</v>
      </c>
      <c r="E91" s="137">
        <v>1.573</v>
      </c>
      <c r="F91" s="137"/>
      <c r="G91" s="137"/>
      <c r="H91" s="70"/>
      <c r="I91" s="137">
        <v>4.6180000000000003</v>
      </c>
      <c r="J91" s="137">
        <v>0</v>
      </c>
      <c r="K91" s="137">
        <v>1.248</v>
      </c>
      <c r="L91" s="137">
        <v>1.4610000000000001</v>
      </c>
      <c r="M91" s="70"/>
      <c r="N91" s="137">
        <v>2.198</v>
      </c>
      <c r="O91" s="137">
        <v>1.532</v>
      </c>
      <c r="P91" s="137">
        <v>0.93500000000000005</v>
      </c>
      <c r="Q91" s="137">
        <v>0</v>
      </c>
      <c r="S91" s="181">
        <f t="shared" si="70"/>
        <v>1.573</v>
      </c>
      <c r="T91" s="181">
        <f t="shared" si="70"/>
        <v>0</v>
      </c>
      <c r="V91" s="181">
        <f t="shared" si="71"/>
        <v>5.5310000000000006</v>
      </c>
      <c r="W91" s="181">
        <f t="shared" si="71"/>
        <v>5.5530000000000008</v>
      </c>
      <c r="Y91" s="181">
        <f t="shared" si="72"/>
        <v>2.8220000000000001</v>
      </c>
      <c r="Z91" s="181">
        <f t="shared" si="72"/>
        <v>4.6180000000000003</v>
      </c>
      <c r="AB91" s="181">
        <f t="shared" si="73"/>
        <v>7.3270000000000008</v>
      </c>
      <c r="AC91" s="181">
        <f t="shared" si="73"/>
        <v>4.665</v>
      </c>
    </row>
    <row r="92" spans="2:29" x14ac:dyDescent="0.25">
      <c r="B92" s="13" t="s">
        <v>228</v>
      </c>
      <c r="D92" s="1">
        <f>+D90-D91</f>
        <v>113.40300000000001</v>
      </c>
      <c r="E92" s="1">
        <f>+E90-E91</f>
        <v>112.337</v>
      </c>
      <c r="F92" s="1"/>
      <c r="G92" s="1"/>
      <c r="I92" s="1">
        <f t="shared" ref="I92:L92" si="74">+I90-I91</f>
        <v>100.82900000000001</v>
      </c>
      <c r="J92" s="1">
        <f t="shared" si="74"/>
        <v>108.494</v>
      </c>
      <c r="K92" s="1">
        <f t="shared" si="74"/>
        <v>109.99499999999999</v>
      </c>
      <c r="L92" s="1">
        <f t="shared" si="74"/>
        <v>118.65300000000001</v>
      </c>
      <c r="N92" s="1">
        <f t="shared" ref="N92:Q92" si="75">+N90-N91</f>
        <v>103.54300000000001</v>
      </c>
      <c r="O92" s="1">
        <f t="shared" si="75"/>
        <v>100.90100000000001</v>
      </c>
      <c r="P92" s="1">
        <f t="shared" si="75"/>
        <v>108.825</v>
      </c>
      <c r="Q92" s="1">
        <f t="shared" si="75"/>
        <v>96.489000000000004</v>
      </c>
      <c r="S92" s="181">
        <f t="shared" si="70"/>
        <v>112.337</v>
      </c>
      <c r="T92" s="181">
        <f t="shared" si="70"/>
        <v>108.494</v>
      </c>
      <c r="V92" s="181">
        <f t="shared" si="71"/>
        <v>454.38800000000003</v>
      </c>
      <c r="W92" s="181">
        <f t="shared" si="71"/>
        <v>414.63700000000006</v>
      </c>
      <c r="Y92" s="181">
        <f t="shared" si="72"/>
        <v>225.74</v>
      </c>
      <c r="Z92" s="181">
        <f t="shared" si="72"/>
        <v>209.32300000000001</v>
      </c>
      <c r="AB92" s="181">
        <f t="shared" si="73"/>
        <v>437.971</v>
      </c>
      <c r="AC92" s="181">
        <f t="shared" si="73"/>
        <v>409.75800000000004</v>
      </c>
    </row>
    <row r="93" spans="2:29" x14ac:dyDescent="0.25">
      <c r="B93" s="13" t="s">
        <v>6</v>
      </c>
      <c r="D93" s="1">
        <v>329.23899999999998</v>
      </c>
      <c r="E93" s="1">
        <v>335.53100000000001</v>
      </c>
      <c r="F93" s="1"/>
      <c r="G93" s="1"/>
      <c r="I93" s="1">
        <v>382.536</v>
      </c>
      <c r="J93" s="1">
        <v>304.32600000000002</v>
      </c>
      <c r="K93" s="1">
        <v>353.36599999999999</v>
      </c>
      <c r="L93" s="1">
        <f>1328.169-SUM(I93:K93)</f>
        <v>287.94100000000003</v>
      </c>
      <c r="N93" s="1">
        <v>292.11900000000003</v>
      </c>
      <c r="O93" s="1">
        <v>296.66399999999999</v>
      </c>
      <c r="P93" s="1">
        <v>433.19</v>
      </c>
      <c r="Q93" s="1">
        <v>299.71100000000001</v>
      </c>
      <c r="S93" s="181">
        <f t="shared" si="70"/>
        <v>335.53100000000001</v>
      </c>
      <c r="T93" s="181">
        <f t="shared" si="70"/>
        <v>304.32600000000002</v>
      </c>
      <c r="V93" s="181">
        <f t="shared" si="71"/>
        <v>1306.077</v>
      </c>
      <c r="W93" s="181">
        <f t="shared" si="71"/>
        <v>1419.7630000000001</v>
      </c>
      <c r="Y93" s="181">
        <f t="shared" si="72"/>
        <v>664.77</v>
      </c>
      <c r="Z93" s="181">
        <f t="shared" si="72"/>
        <v>686.86200000000008</v>
      </c>
      <c r="AB93" s="181">
        <f t="shared" si="73"/>
        <v>1328.1690000000001</v>
      </c>
      <c r="AC93" s="181">
        <f t="shared" si="73"/>
        <v>1321.684</v>
      </c>
    </row>
    <row r="94" spans="2:29" x14ac:dyDescent="0.25">
      <c r="B94" s="13" t="s">
        <v>229</v>
      </c>
      <c r="D94" s="1">
        <v>30.692</v>
      </c>
      <c r="E94" s="1">
        <v>34.877999999999993</v>
      </c>
      <c r="F94" s="1"/>
      <c r="G94" s="1"/>
      <c r="I94" s="1">
        <v>36.790999999999997</v>
      </c>
      <c r="J94" s="1">
        <v>28.501999999999999</v>
      </c>
      <c r="K94" s="1">
        <v>33.886000000000003</v>
      </c>
      <c r="L94" s="1">
        <v>26.731000000000002</v>
      </c>
      <c r="N94" s="1">
        <v>27.989000000000001</v>
      </c>
      <c r="O94" s="1">
        <v>28.149000000000001</v>
      </c>
      <c r="P94" s="1">
        <v>40.090000000000003</v>
      </c>
      <c r="Q94" s="1">
        <v>27.722000000000001</v>
      </c>
      <c r="S94" s="181">
        <f t="shared" si="70"/>
        <v>34.877999999999993</v>
      </c>
      <c r="T94" s="181">
        <f t="shared" si="70"/>
        <v>28.501999999999999</v>
      </c>
      <c r="V94" s="181">
        <f t="shared" si="71"/>
        <v>126.18699999999998</v>
      </c>
      <c r="W94" s="181">
        <f t="shared" si="71"/>
        <v>133.10499999999999</v>
      </c>
      <c r="Y94" s="181">
        <f t="shared" si="72"/>
        <v>65.569999999999993</v>
      </c>
      <c r="Z94" s="181">
        <f t="shared" si="72"/>
        <v>65.292999999999992</v>
      </c>
      <c r="AB94" s="181">
        <f t="shared" si="73"/>
        <v>125.91</v>
      </c>
      <c r="AC94" s="181">
        <f t="shared" si="73"/>
        <v>123.95000000000002</v>
      </c>
    </row>
    <row r="95" spans="2:29" x14ac:dyDescent="0.25">
      <c r="B95" s="13" t="s">
        <v>230</v>
      </c>
      <c r="D95" s="1">
        <v>40.409999999999997</v>
      </c>
      <c r="E95" s="1">
        <v>47.734999999999999</v>
      </c>
      <c r="F95" s="1"/>
      <c r="G95" s="1"/>
      <c r="I95" s="1">
        <v>37.485999999999997</v>
      </c>
      <c r="J95" s="1">
        <v>37.802</v>
      </c>
      <c r="K95" s="1">
        <v>42.347000000000001</v>
      </c>
      <c r="L95" s="1">
        <v>40.204999999999998</v>
      </c>
      <c r="N95" s="1">
        <v>43.662999999999997</v>
      </c>
      <c r="O95" s="1">
        <v>40.517000000000003</v>
      </c>
      <c r="P95" s="1">
        <v>48.384</v>
      </c>
      <c r="Q95" s="1">
        <v>31.654</v>
      </c>
      <c r="S95" s="181">
        <f t="shared" si="70"/>
        <v>47.734999999999999</v>
      </c>
      <c r="T95" s="181">
        <f t="shared" si="70"/>
        <v>37.802</v>
      </c>
      <c r="V95" s="181">
        <f t="shared" si="71"/>
        <v>170.697</v>
      </c>
      <c r="W95" s="181">
        <f t="shared" si="71"/>
        <v>155.32599999999999</v>
      </c>
      <c r="Y95" s="181">
        <f t="shared" si="72"/>
        <v>88.144999999999996</v>
      </c>
      <c r="Z95" s="181">
        <f t="shared" si="72"/>
        <v>75.287999999999997</v>
      </c>
      <c r="AB95" s="181">
        <f t="shared" si="73"/>
        <v>157.83999999999997</v>
      </c>
      <c r="AC95" s="181">
        <f t="shared" si="73"/>
        <v>164.21800000000002</v>
      </c>
    </row>
    <row r="96" spans="2:29" x14ac:dyDescent="0.25">
      <c r="B96" s="13" t="s">
        <v>231</v>
      </c>
      <c r="D96" s="125">
        <f>ROUND((D95*1000)/SUM(D92),2)</f>
        <v>356.34</v>
      </c>
      <c r="E96" s="125">
        <f>ROUND((E95*1000)/SUM(E92),2)</f>
        <v>424.93</v>
      </c>
      <c r="F96" s="125"/>
      <c r="G96" s="125"/>
      <c r="I96" s="125">
        <f t="shared" ref="I96" si="76">ROUND((I95*1000)/SUM(I92),2)</f>
        <v>371.78</v>
      </c>
      <c r="J96" s="125">
        <f t="shared" ref="J96" si="77">ROUND((J95*1000)/SUM(J92),2)</f>
        <v>348.42</v>
      </c>
      <c r="K96" s="125">
        <f t="shared" ref="K96" si="78">ROUND((K95*1000)/SUM(K92),2)</f>
        <v>384.99</v>
      </c>
      <c r="L96" s="125">
        <f t="shared" ref="L96" si="79">ROUND((L95*1000)/SUM(L92),2)</f>
        <v>338.85</v>
      </c>
      <c r="N96" s="125">
        <f t="shared" ref="N96" si="80">ROUND((N95*1000)/SUM(N92),2)</f>
        <v>421.69</v>
      </c>
      <c r="O96" s="125">
        <f t="shared" ref="O96" si="81">ROUND((O95*1000)/SUM(O92),2)</f>
        <v>401.55</v>
      </c>
      <c r="P96" s="125">
        <f t="shared" ref="P96" si="82">ROUND((P95*1000)/SUM(P92),2)</f>
        <v>444.6</v>
      </c>
      <c r="Q96" s="125">
        <f t="shared" ref="Q96" si="83">ROUND((Q95*1000)/SUM(Q92),2)</f>
        <v>328.06</v>
      </c>
      <c r="S96" s="181">
        <f>ROUND((S95*1000)/SUM(S92),2)</f>
        <v>424.93</v>
      </c>
      <c r="T96" s="181">
        <f>ROUND((T95*1000)/SUM(T92),2)</f>
        <v>348.42</v>
      </c>
      <c r="V96" s="181">
        <f>ROUND((V95*1000)/SUM(V92),2)</f>
        <v>375.66</v>
      </c>
      <c r="W96" s="181">
        <f>ROUND((W95*1000)/SUM(W92),2)</f>
        <v>374.61</v>
      </c>
      <c r="Y96" s="181">
        <f>ROUND((Y95*1000)/SUM(Y92),2)</f>
        <v>390.47</v>
      </c>
      <c r="Z96" s="181">
        <f>ROUND((Z95*1000)/SUM(Z92),2)</f>
        <v>359.67</v>
      </c>
      <c r="AB96" s="181">
        <f>ROUND((AB95*1000)/SUM(AB92),2)</f>
        <v>360.39</v>
      </c>
      <c r="AC96" s="181">
        <f>ROUND((AC95*1000)/SUM(AC92),2)</f>
        <v>400.77</v>
      </c>
    </row>
    <row r="97" spans="2:29" x14ac:dyDescent="0.25">
      <c r="B97" s="13"/>
      <c r="D97" s="125"/>
      <c r="E97" s="125"/>
      <c r="I97" s="125"/>
      <c r="J97" s="125"/>
      <c r="K97" s="125"/>
      <c r="L97" s="125"/>
      <c r="N97" s="125"/>
      <c r="O97" s="125"/>
      <c r="P97" s="125"/>
      <c r="Q97" s="125"/>
      <c r="S97" s="181"/>
      <c r="T97" s="181"/>
      <c r="V97" s="181"/>
      <c r="W97" s="181"/>
      <c r="Y97" s="181"/>
      <c r="Z97" s="181"/>
      <c r="AB97" s="181"/>
      <c r="AC97" s="181"/>
    </row>
    <row r="98" spans="2:29" x14ac:dyDescent="0.25">
      <c r="B98" s="10" t="s">
        <v>57</v>
      </c>
      <c r="S98" s="177"/>
      <c r="T98" s="177"/>
      <c r="V98" s="177"/>
      <c r="W98" s="177"/>
      <c r="Y98" s="177"/>
      <c r="Z98" s="177"/>
      <c r="AB98" s="177"/>
      <c r="AC98" s="177"/>
    </row>
    <row r="99" spans="2:29" x14ac:dyDescent="0.25">
      <c r="B99" s="13" t="s">
        <v>5</v>
      </c>
      <c r="D99" s="1">
        <v>1191.5920000000001</v>
      </c>
      <c r="E99" s="1">
        <v>2609.6039999999998</v>
      </c>
      <c r="F99" s="1"/>
      <c r="G99" s="1"/>
      <c r="I99" s="1">
        <v>1478.723</v>
      </c>
      <c r="J99" s="1">
        <v>2871.6669999999999</v>
      </c>
      <c r="K99" s="1">
        <v>3243.029</v>
      </c>
      <c r="L99" s="1">
        <f>9457.277-SUM(I99:K99)</f>
        <v>1863.8580000000002</v>
      </c>
      <c r="N99" s="1">
        <v>1073.2719999999999</v>
      </c>
      <c r="O99" s="1">
        <v>2371.5500000000002</v>
      </c>
      <c r="P99" s="1">
        <v>3097.3110000000001</v>
      </c>
      <c r="Q99" s="1">
        <v>1905.6369999999999</v>
      </c>
      <c r="S99" s="181">
        <f t="shared" ref="S99:T105" si="84">SUMIFS($C99:$R99,$C$7:$R$7,S$7,$C$6:$R$6,S$6)</f>
        <v>2609.6039999999998</v>
      </c>
      <c r="T99" s="181">
        <f t="shared" si="84"/>
        <v>2871.6669999999999</v>
      </c>
      <c r="V99" s="181">
        <f t="shared" ref="V99:W105" si="85">SUMIF($C$1:$R$1,V$1,$C99:$R99)</f>
        <v>8908.0830000000005</v>
      </c>
      <c r="W99" s="181">
        <f t="shared" si="85"/>
        <v>9353.3379999999997</v>
      </c>
      <c r="Y99" s="181">
        <f t="shared" ref="Y99:Z105" si="86">SUMIFS($C99:$R99,$C$7:$R$7,VALUE(RIGHT(Y$7,4)),$C$1:$R$1,Y$1)</f>
        <v>3801.1959999999999</v>
      </c>
      <c r="Z99" s="181">
        <f t="shared" si="86"/>
        <v>4350.3899999999994</v>
      </c>
      <c r="AB99" s="181">
        <f t="shared" ref="AB99:AC105" si="87">SUMIF($C$7:$R$7,AB$7,$C99:$R99)</f>
        <v>9457.277</v>
      </c>
      <c r="AC99" s="181">
        <f t="shared" si="87"/>
        <v>8447.77</v>
      </c>
    </row>
    <row r="100" spans="2:29" x14ac:dyDescent="0.25">
      <c r="B100" s="13" t="s">
        <v>226</v>
      </c>
      <c r="D100" s="1">
        <v>182.702</v>
      </c>
      <c r="E100" s="1">
        <v>447.66300000000001</v>
      </c>
      <c r="F100" s="1"/>
      <c r="G100" s="1"/>
      <c r="I100" s="1">
        <v>209.43299999999999</v>
      </c>
      <c r="J100" s="1">
        <v>405.23200000000003</v>
      </c>
      <c r="K100" s="1">
        <v>480.05599999999998</v>
      </c>
      <c r="L100" s="1">
        <v>286.54899999999998</v>
      </c>
      <c r="N100" s="1">
        <v>175.23</v>
      </c>
      <c r="O100" s="1">
        <v>362.83699999999999</v>
      </c>
      <c r="P100" s="1">
        <v>410.77800000000002</v>
      </c>
      <c r="Q100" s="1">
        <v>256.49599999999998</v>
      </c>
      <c r="S100" s="181">
        <f t="shared" si="84"/>
        <v>447.66300000000001</v>
      </c>
      <c r="T100" s="181">
        <f t="shared" si="84"/>
        <v>405.23200000000003</v>
      </c>
      <c r="V100" s="181">
        <f t="shared" si="85"/>
        <v>1396.97</v>
      </c>
      <c r="W100" s="181">
        <f t="shared" si="85"/>
        <v>1281.9389999999999</v>
      </c>
      <c r="Y100" s="181">
        <f t="shared" si="86"/>
        <v>630.36500000000001</v>
      </c>
      <c r="Z100" s="181">
        <f t="shared" si="86"/>
        <v>614.66499999999996</v>
      </c>
      <c r="AB100" s="181">
        <f t="shared" si="87"/>
        <v>1381.27</v>
      </c>
      <c r="AC100" s="181">
        <f t="shared" si="87"/>
        <v>1205.3409999999999</v>
      </c>
    </row>
    <row r="101" spans="2:29" x14ac:dyDescent="0.25">
      <c r="B101" s="158" t="s">
        <v>227</v>
      </c>
      <c r="C101" s="70"/>
      <c r="D101" s="137">
        <v>0</v>
      </c>
      <c r="E101" s="137">
        <v>7.5949999999999998</v>
      </c>
      <c r="F101" s="137"/>
      <c r="G101" s="137"/>
      <c r="H101" s="70"/>
      <c r="I101" s="137">
        <v>0</v>
      </c>
      <c r="J101" s="137">
        <v>0</v>
      </c>
      <c r="K101" s="137">
        <v>0</v>
      </c>
      <c r="L101" s="137">
        <v>0</v>
      </c>
      <c r="M101" s="70"/>
      <c r="N101" s="137">
        <v>4.8979999999999997</v>
      </c>
      <c r="O101" s="137">
        <v>13.798999999999999</v>
      </c>
      <c r="P101" s="137">
        <v>12.425000000000001</v>
      </c>
      <c r="Q101" s="137">
        <v>9.8019999999999996</v>
      </c>
      <c r="S101" s="181">
        <f t="shared" si="84"/>
        <v>7.5949999999999998</v>
      </c>
      <c r="T101" s="181">
        <f t="shared" si="84"/>
        <v>0</v>
      </c>
      <c r="V101" s="181">
        <f t="shared" si="85"/>
        <v>7.5949999999999998</v>
      </c>
      <c r="W101" s="181">
        <f t="shared" si="85"/>
        <v>22.227</v>
      </c>
      <c r="Y101" s="181">
        <f t="shared" si="86"/>
        <v>7.5949999999999998</v>
      </c>
      <c r="Z101" s="181">
        <f t="shared" si="86"/>
        <v>0</v>
      </c>
      <c r="AB101" s="181">
        <f t="shared" si="87"/>
        <v>0</v>
      </c>
      <c r="AC101" s="181">
        <f t="shared" si="87"/>
        <v>40.923999999999999</v>
      </c>
    </row>
    <row r="102" spans="2:29" x14ac:dyDescent="0.25">
      <c r="B102" s="13" t="s">
        <v>228</v>
      </c>
      <c r="D102" s="1">
        <f>+D100-D101</f>
        <v>182.702</v>
      </c>
      <c r="E102" s="1">
        <f>+E100-E101</f>
        <v>440.06799999999998</v>
      </c>
      <c r="F102" s="1"/>
      <c r="G102" s="1"/>
      <c r="I102" s="1">
        <f t="shared" ref="I102" si="88">+I100-I101</f>
        <v>209.43299999999999</v>
      </c>
      <c r="J102" s="1">
        <f t="shared" ref="J102" si="89">+J100-J101</f>
        <v>405.23200000000003</v>
      </c>
      <c r="K102" s="1">
        <f t="shared" ref="K102" si="90">+K100-K101</f>
        <v>480.05599999999998</v>
      </c>
      <c r="L102" s="1">
        <f t="shared" ref="L102" si="91">+L100-L101</f>
        <v>286.54899999999998</v>
      </c>
      <c r="N102" s="1">
        <f t="shared" ref="N102" si="92">+N100-N101</f>
        <v>170.33199999999999</v>
      </c>
      <c r="O102" s="1">
        <f t="shared" ref="O102" si="93">+O100-O101</f>
        <v>349.03800000000001</v>
      </c>
      <c r="P102" s="1">
        <f t="shared" ref="P102" si="94">+P100-P101</f>
        <v>398.35300000000001</v>
      </c>
      <c r="Q102" s="1">
        <f t="shared" ref="Q102" si="95">+Q100-Q101</f>
        <v>246.69399999999999</v>
      </c>
      <c r="S102" s="181">
        <f t="shared" si="84"/>
        <v>440.06799999999998</v>
      </c>
      <c r="T102" s="181">
        <f t="shared" si="84"/>
        <v>405.23200000000003</v>
      </c>
      <c r="V102" s="181">
        <f t="shared" si="85"/>
        <v>1389.375</v>
      </c>
      <c r="W102" s="181">
        <f t="shared" si="85"/>
        <v>1259.712</v>
      </c>
      <c r="Y102" s="181">
        <f t="shared" si="86"/>
        <v>622.77</v>
      </c>
      <c r="Z102" s="181">
        <f t="shared" si="86"/>
        <v>614.66499999999996</v>
      </c>
      <c r="AB102" s="181">
        <f t="shared" si="87"/>
        <v>1381.27</v>
      </c>
      <c r="AC102" s="181">
        <f t="shared" si="87"/>
        <v>1164.4169999999999</v>
      </c>
    </row>
    <row r="103" spans="2:29" x14ac:dyDescent="0.25">
      <c r="B103" s="13" t="s">
        <v>6</v>
      </c>
      <c r="D103" s="1">
        <v>-82.143000000000001</v>
      </c>
      <c r="E103" s="1">
        <v>156.36500000000001</v>
      </c>
      <c r="F103" s="1"/>
      <c r="G103" s="1"/>
      <c r="I103" s="1">
        <v>-104.48399999999999</v>
      </c>
      <c r="J103" s="1">
        <v>168.999</v>
      </c>
      <c r="K103" s="1">
        <v>207.488</v>
      </c>
      <c r="L103" s="1">
        <f>253.161-SUM(I103:K103)</f>
        <v>-18.841999999999985</v>
      </c>
      <c r="N103" s="1">
        <v>-69.415000000000006</v>
      </c>
      <c r="O103" s="1">
        <v>176.62799999999999</v>
      </c>
      <c r="P103" s="1">
        <v>184.99100000000001</v>
      </c>
      <c r="Q103" s="1">
        <v>-6.3650000000000002</v>
      </c>
      <c r="S103" s="181">
        <f t="shared" si="84"/>
        <v>156.36500000000001</v>
      </c>
      <c r="T103" s="181">
        <f t="shared" si="84"/>
        <v>168.999</v>
      </c>
      <c r="V103" s="181">
        <f t="shared" si="85"/>
        <v>262.86800000000005</v>
      </c>
      <c r="W103" s="181">
        <f t="shared" si="85"/>
        <v>243.14100000000002</v>
      </c>
      <c r="Y103" s="181">
        <f t="shared" si="86"/>
        <v>74.222000000000008</v>
      </c>
      <c r="Z103" s="181">
        <f t="shared" si="86"/>
        <v>64.515000000000001</v>
      </c>
      <c r="AB103" s="181">
        <f t="shared" si="87"/>
        <v>253.161</v>
      </c>
      <c r="AC103" s="181">
        <f t="shared" si="87"/>
        <v>285.839</v>
      </c>
    </row>
    <row r="104" spans="2:29" x14ac:dyDescent="0.25">
      <c r="B104" s="13" t="s">
        <v>229</v>
      </c>
      <c r="D104" s="1">
        <v>-7.2430000000000003</v>
      </c>
      <c r="E104" s="1">
        <v>16.121000000000002</v>
      </c>
      <c r="F104" s="1"/>
      <c r="G104" s="1"/>
      <c r="I104" s="1">
        <v>-10.071</v>
      </c>
      <c r="J104" s="1">
        <v>15.922000000000001</v>
      </c>
      <c r="K104" s="1">
        <v>19.948</v>
      </c>
      <c r="L104" s="1">
        <v>-1.49</v>
      </c>
      <c r="N104" s="1">
        <v>-6.6829999999999998</v>
      </c>
      <c r="O104" s="1">
        <v>16.574999999999999</v>
      </c>
      <c r="P104" s="1">
        <v>16.957000000000001</v>
      </c>
      <c r="Q104" s="1">
        <v>-0.80500000000000005</v>
      </c>
      <c r="S104" s="181">
        <f t="shared" si="84"/>
        <v>16.121000000000002</v>
      </c>
      <c r="T104" s="181">
        <f t="shared" si="84"/>
        <v>15.922000000000001</v>
      </c>
      <c r="V104" s="181">
        <f t="shared" si="85"/>
        <v>27.336000000000002</v>
      </c>
      <c r="W104" s="181">
        <f t="shared" si="85"/>
        <v>22.003</v>
      </c>
      <c r="Y104" s="181">
        <f t="shared" si="86"/>
        <v>8.8780000000000019</v>
      </c>
      <c r="Z104" s="181">
        <f t="shared" si="86"/>
        <v>5.8510000000000009</v>
      </c>
      <c r="AB104" s="181">
        <f t="shared" si="87"/>
        <v>24.309000000000001</v>
      </c>
      <c r="AC104" s="181">
        <f t="shared" si="87"/>
        <v>26.044</v>
      </c>
    </row>
    <row r="105" spans="2:29" x14ac:dyDescent="0.25">
      <c r="B105" s="13" t="s">
        <v>230</v>
      </c>
      <c r="D105" s="1">
        <v>7.7</v>
      </c>
      <c r="E105" s="1">
        <v>30.648</v>
      </c>
      <c r="F105" s="1"/>
      <c r="G105" s="1"/>
      <c r="I105" s="1">
        <v>2.7069999999999999</v>
      </c>
      <c r="J105" s="1">
        <v>27.088000000000001</v>
      </c>
      <c r="K105" s="1">
        <v>33.624000000000002</v>
      </c>
      <c r="L105" s="1">
        <v>13.221</v>
      </c>
      <c r="N105" s="1">
        <v>7.1539999999999999</v>
      </c>
      <c r="O105" s="1">
        <v>25.829000000000001</v>
      </c>
      <c r="P105" s="1">
        <v>34.258000000000003</v>
      </c>
      <c r="Q105" s="1">
        <v>9.3740000000000006</v>
      </c>
      <c r="S105" s="181">
        <f t="shared" si="84"/>
        <v>30.648</v>
      </c>
      <c r="T105" s="181">
        <f t="shared" si="84"/>
        <v>27.088000000000001</v>
      </c>
      <c r="V105" s="181">
        <f t="shared" si="85"/>
        <v>85.193000000000012</v>
      </c>
      <c r="W105" s="181">
        <f t="shared" si="85"/>
        <v>73.426999999999992</v>
      </c>
      <c r="Y105" s="181">
        <f t="shared" si="86"/>
        <v>38.347999999999999</v>
      </c>
      <c r="Z105" s="181">
        <f t="shared" si="86"/>
        <v>29.795000000000002</v>
      </c>
      <c r="AB105" s="181">
        <f t="shared" si="87"/>
        <v>76.64</v>
      </c>
      <c r="AC105" s="181">
        <f t="shared" si="87"/>
        <v>76.615000000000009</v>
      </c>
    </row>
    <row r="106" spans="2:29" x14ac:dyDescent="0.25">
      <c r="B106" s="13" t="s">
        <v>231</v>
      </c>
      <c r="D106" s="125">
        <f>ROUND((D105*1000)/SUM(D102),2)</f>
        <v>42.15</v>
      </c>
      <c r="E106" s="125">
        <f>ROUND((E105*1000)/SUM(E102),2)</f>
        <v>69.64</v>
      </c>
      <c r="F106" s="125"/>
      <c r="G106" s="125"/>
      <c r="I106" s="125">
        <f t="shared" ref="I106:L106" si="96">ROUND((I105*1000)/SUM(I102),2)</f>
        <v>12.93</v>
      </c>
      <c r="J106" s="125">
        <f t="shared" si="96"/>
        <v>66.849999999999994</v>
      </c>
      <c r="K106" s="125">
        <f t="shared" si="96"/>
        <v>70.040000000000006</v>
      </c>
      <c r="L106" s="125">
        <f t="shared" si="96"/>
        <v>46.14</v>
      </c>
      <c r="N106" s="125">
        <f t="shared" ref="N106:Q106" si="97">ROUND((N105*1000)/SUM(N102),2)</f>
        <v>42</v>
      </c>
      <c r="O106" s="125">
        <f t="shared" si="97"/>
        <v>74</v>
      </c>
      <c r="P106" s="125">
        <f t="shared" si="97"/>
        <v>86</v>
      </c>
      <c r="Q106" s="125">
        <f t="shared" si="97"/>
        <v>38</v>
      </c>
      <c r="S106" s="181">
        <f>ROUND((S105*1000)/SUM(S102),2)</f>
        <v>69.64</v>
      </c>
      <c r="T106" s="181">
        <f>ROUND((T105*1000)/SUM(T102),2)</f>
        <v>66.849999999999994</v>
      </c>
      <c r="U106" s="202"/>
      <c r="V106" s="181">
        <f>ROUND((V105*1000)/SUM(V102),2)</f>
        <v>61.32</v>
      </c>
      <c r="W106" s="181">
        <f>ROUND((W105*1000)/SUM(W102),2)</f>
        <v>58.29</v>
      </c>
      <c r="X106" s="202"/>
      <c r="Y106" s="181">
        <f>ROUND((Y105*1000)/SUM(Y102),2)</f>
        <v>61.58</v>
      </c>
      <c r="Z106" s="181">
        <f>ROUND((Z105*1000)/SUM(Z102),2)</f>
        <v>48.47</v>
      </c>
      <c r="AB106" s="181">
        <f>ROUND((AB105*1000)/SUM(AB102),2)</f>
        <v>55.49</v>
      </c>
      <c r="AC106" s="181">
        <f>ROUND((AC105*1000)/SUM(AC102),2)</f>
        <v>65.8</v>
      </c>
    </row>
    <row r="107" spans="2:29" x14ac:dyDescent="0.25">
      <c r="B107" s="13"/>
      <c r="Q107" s="125"/>
      <c r="S107" s="181"/>
      <c r="T107" s="191"/>
      <c r="V107" s="181"/>
      <c r="W107" s="181"/>
      <c r="Y107" s="181"/>
      <c r="Z107" s="181"/>
      <c r="AB107" s="181"/>
      <c r="AC107" s="181"/>
    </row>
    <row r="108" spans="2:29" x14ac:dyDescent="0.25">
      <c r="B108" s="10" t="s">
        <v>58</v>
      </c>
      <c r="S108" s="177"/>
      <c r="T108" s="192"/>
      <c r="V108" s="177"/>
      <c r="W108" s="177"/>
      <c r="Y108" s="177"/>
      <c r="Z108" s="177"/>
      <c r="AB108" s="177"/>
      <c r="AC108" s="177"/>
    </row>
    <row r="109" spans="2:29" x14ac:dyDescent="0.25">
      <c r="B109" s="13" t="s">
        <v>5</v>
      </c>
      <c r="D109" s="1">
        <v>0</v>
      </c>
      <c r="E109" s="1">
        <v>0</v>
      </c>
      <c r="F109" s="1"/>
      <c r="G109" s="1"/>
      <c r="I109" s="1">
        <v>22.116</v>
      </c>
      <c r="J109" s="1">
        <v>13.734</v>
      </c>
      <c r="K109" s="1">
        <v>42.665999999999997</v>
      </c>
      <c r="L109" s="1">
        <f>102.88-SUM(I109:K109)</f>
        <v>24.364000000000004</v>
      </c>
      <c r="N109" s="1">
        <v>148.69900000000001</v>
      </c>
      <c r="O109" s="1">
        <v>51.500999999999998</v>
      </c>
      <c r="P109" s="1">
        <v>108.30800000000001</v>
      </c>
      <c r="Q109" s="1">
        <v>160.767</v>
      </c>
      <c r="S109" s="181">
        <f t="shared" ref="S109:T112" si="98">SUMIFS($C109:$R109,$C$7:$R$7,S$7,$C$6:$R$6,S$6)</f>
        <v>0</v>
      </c>
      <c r="T109" s="181">
        <f t="shared" si="98"/>
        <v>13.734</v>
      </c>
      <c r="V109" s="181">
        <f t="shared" ref="V109:W112" si="99">SUMIF($C$1:$R$1,V$1,$C109:$R109)</f>
        <v>67.03</v>
      </c>
      <c r="W109" s="181">
        <f t="shared" si="99"/>
        <v>304.92500000000001</v>
      </c>
      <c r="Y109" s="181">
        <f t="shared" ref="Y109:Z112" si="100">SUMIFS($C109:$R109,$C$7:$R$7,VALUE(RIGHT(Y$7,4)),$C$1:$R$1,Y$1)</f>
        <v>0</v>
      </c>
      <c r="Z109" s="181">
        <f t="shared" si="100"/>
        <v>35.85</v>
      </c>
      <c r="AB109" s="181">
        <f t="shared" ref="AB109:AC112" si="101">SUMIF($C$7:$R$7,AB$7,$C109:$R109)</f>
        <v>102.88</v>
      </c>
      <c r="AC109" s="181">
        <f t="shared" si="101"/>
        <v>469.27500000000003</v>
      </c>
    </row>
    <row r="110" spans="2:29" x14ac:dyDescent="0.25">
      <c r="B110" s="13" t="s">
        <v>64</v>
      </c>
      <c r="D110" s="1">
        <v>0</v>
      </c>
      <c r="E110" s="1">
        <v>0</v>
      </c>
      <c r="F110" s="1"/>
      <c r="G110" s="1"/>
      <c r="I110" s="1">
        <v>3.044</v>
      </c>
      <c r="J110" s="1">
        <v>2.06</v>
      </c>
      <c r="K110" s="1">
        <v>6.6390000000000002</v>
      </c>
      <c r="L110" s="1">
        <f>(16.608-1.82)-SUM(I110:K110)</f>
        <v>3.0449999999999999</v>
      </c>
      <c r="N110" s="1">
        <v>20.823</v>
      </c>
      <c r="O110" s="1">
        <v>8.9290000000000003</v>
      </c>
      <c r="P110" s="1">
        <v>18.957999999999998</v>
      </c>
      <c r="Q110" s="1">
        <v>32.253999999999998</v>
      </c>
      <c r="S110" s="181">
        <f t="shared" si="98"/>
        <v>0</v>
      </c>
      <c r="T110" s="181">
        <f t="shared" si="98"/>
        <v>2.06</v>
      </c>
      <c r="V110" s="181">
        <f t="shared" si="99"/>
        <v>9.6840000000000011</v>
      </c>
      <c r="W110" s="181">
        <f t="shared" si="99"/>
        <v>56.315999999999995</v>
      </c>
      <c r="Y110" s="181">
        <f t="shared" si="100"/>
        <v>0</v>
      </c>
      <c r="Z110" s="181">
        <f t="shared" si="100"/>
        <v>5.1040000000000001</v>
      </c>
      <c r="AB110" s="181">
        <f t="shared" si="101"/>
        <v>14.788</v>
      </c>
      <c r="AC110" s="181">
        <f t="shared" si="101"/>
        <v>80.963999999999999</v>
      </c>
    </row>
    <row r="111" spans="2:29" x14ac:dyDescent="0.25">
      <c r="B111" s="13" t="s">
        <v>6</v>
      </c>
      <c r="D111" s="1">
        <v>-68.197999999999993</v>
      </c>
      <c r="E111" s="1">
        <v>-65.499000000000009</v>
      </c>
      <c r="F111" s="1"/>
      <c r="G111" s="1"/>
      <c r="I111" s="1">
        <f>-55.778-5.618-0.0963</f>
        <v>-61.4923</v>
      </c>
      <c r="J111" s="1">
        <f>(-123.323+61.396+0.2087)-13.567</f>
        <v>-75.285299999999992</v>
      </c>
      <c r="K111" s="1">
        <f>(-182.628+123.323-0.227)+13.612</f>
        <v>-45.919999999999987</v>
      </c>
      <c r="L111" s="1">
        <f>-247.941-SUM(I111:K111)+0.087</f>
        <v>-65.156400000000005</v>
      </c>
      <c r="N111" s="1">
        <f>-217.607-1.304+(153.018+0.2184)</f>
        <v>-65.674599999999998</v>
      </c>
      <c r="O111" s="1">
        <f>42.431+2.147+(17.564-153.018+0.2542)</f>
        <v>-90.621800000000007</v>
      </c>
      <c r="P111" s="1">
        <f>-32.362-1.287+(20.077-17.564-0.397)</f>
        <v>-31.533000000000001</v>
      </c>
      <c r="Q111" s="1">
        <f>-142.599+30.433-30.789+(59.1-20.077-0.3245)</f>
        <v>-104.25649999999999</v>
      </c>
      <c r="S111" s="181">
        <f t="shared" si="98"/>
        <v>-65.499000000000009</v>
      </c>
      <c r="T111" s="181">
        <f t="shared" si="98"/>
        <v>-75.285299999999992</v>
      </c>
      <c r="V111" s="181">
        <f t="shared" si="99"/>
        <v>-244.77339999999998</v>
      </c>
      <c r="W111" s="181">
        <f t="shared" si="99"/>
        <v>-272.56709999999998</v>
      </c>
      <c r="Y111" s="181">
        <f t="shared" si="100"/>
        <v>-133.697</v>
      </c>
      <c r="Z111" s="181">
        <f t="shared" si="100"/>
        <v>-136.77760000000001</v>
      </c>
      <c r="AB111" s="181">
        <f t="shared" si="101"/>
        <v>-247.85399999999998</v>
      </c>
      <c r="AC111" s="181">
        <f t="shared" si="101"/>
        <v>-292.08590000000004</v>
      </c>
    </row>
    <row r="112" spans="2:29" x14ac:dyDescent="0.25">
      <c r="B112" s="13" t="s">
        <v>229</v>
      </c>
      <c r="D112" s="1">
        <v>-6.3609999999999998</v>
      </c>
      <c r="E112" s="1">
        <v>-6.7909999999999995</v>
      </c>
      <c r="F112" s="1"/>
      <c r="G112" s="1"/>
      <c r="I112" s="1">
        <v>-5.9089999999999998</v>
      </c>
      <c r="J112" s="1">
        <v>-5.7839999999999998</v>
      </c>
      <c r="K112" s="1">
        <v>-5.6959999999999997</v>
      </c>
      <c r="L112" s="1">
        <v>-6.0190000000000001</v>
      </c>
      <c r="N112" s="1">
        <v>-6.1870000000000003</v>
      </c>
      <c r="O112" s="1">
        <v>-8.7959999999999994</v>
      </c>
      <c r="P112" s="1">
        <v>-2.7749999999999999</v>
      </c>
      <c r="Q112" s="1">
        <v>-9.8130000000000006</v>
      </c>
      <c r="S112" s="181">
        <f t="shared" si="98"/>
        <v>-6.7909999999999995</v>
      </c>
      <c r="T112" s="181">
        <f t="shared" si="98"/>
        <v>-5.7839999999999998</v>
      </c>
      <c r="V112" s="181">
        <f t="shared" si="99"/>
        <v>-24.866999999999997</v>
      </c>
      <c r="W112" s="181">
        <f t="shared" si="99"/>
        <v>-24.280999999999999</v>
      </c>
      <c r="Y112" s="181">
        <f t="shared" si="100"/>
        <v>-13.151999999999999</v>
      </c>
      <c r="Z112" s="181">
        <f t="shared" si="100"/>
        <v>-11.693</v>
      </c>
      <c r="AB112" s="181">
        <f t="shared" si="101"/>
        <v>-23.408000000000001</v>
      </c>
      <c r="AC112" s="181">
        <f t="shared" si="101"/>
        <v>-27.570999999999998</v>
      </c>
    </row>
    <row r="113" spans="2:29" x14ac:dyDescent="0.25">
      <c r="B113" s="126"/>
      <c r="S113" s="177"/>
      <c r="T113" s="177"/>
      <c r="V113" s="177"/>
      <c r="W113" s="177"/>
      <c r="Y113" s="177"/>
      <c r="Z113" s="177"/>
      <c r="AB113" s="177"/>
      <c r="AC113" s="177"/>
    </row>
    <row r="114" spans="2:29" x14ac:dyDescent="0.25">
      <c r="B114" s="126"/>
      <c r="S114" s="177"/>
      <c r="T114" s="177"/>
      <c r="V114" s="177"/>
      <c r="W114" s="177"/>
      <c r="Y114" s="177"/>
      <c r="Z114" s="177"/>
      <c r="AB114" s="177"/>
      <c r="AC114" s="177"/>
    </row>
    <row r="115" spans="2:29" x14ac:dyDescent="0.25">
      <c r="B115" s="126"/>
      <c r="S115" s="177"/>
      <c r="T115" s="177"/>
      <c r="V115" s="177"/>
      <c r="W115" s="177"/>
      <c r="Y115" s="177"/>
      <c r="Z115" s="177"/>
      <c r="AB115" s="177"/>
      <c r="AC115" s="177"/>
    </row>
    <row r="116" spans="2:29" ht="24.75" thickBot="1" x14ac:dyDescent="0.45">
      <c r="B116" s="138" t="s">
        <v>66</v>
      </c>
      <c r="D116" s="139"/>
      <c r="E116" s="139"/>
      <c r="F116" s="139"/>
      <c r="G116" s="139"/>
      <c r="I116" s="139"/>
      <c r="J116" s="139"/>
      <c r="K116" s="139"/>
      <c r="L116" s="139"/>
      <c r="S116" s="177"/>
      <c r="T116" s="177"/>
      <c r="V116" s="177"/>
      <c r="W116" s="177"/>
      <c r="Y116" s="177"/>
      <c r="Z116" s="177"/>
      <c r="AB116" s="177"/>
      <c r="AC116" s="177"/>
    </row>
    <row r="117" spans="2:29" ht="15.75" customHeight="1" x14ac:dyDescent="0.4">
      <c r="B117" s="66"/>
      <c r="S117" s="177"/>
      <c r="T117" s="177"/>
      <c r="V117" s="177"/>
      <c r="W117" s="177"/>
      <c r="Y117" s="177"/>
      <c r="Z117" s="177"/>
      <c r="AB117" s="177"/>
      <c r="AC117" s="177"/>
    </row>
    <row r="118" spans="2:29" ht="15.75" customHeight="1" x14ac:dyDescent="0.25">
      <c r="B118" s="8"/>
      <c r="D118" s="211"/>
      <c r="E118" s="212"/>
      <c r="I118" s="211"/>
      <c r="J118" s="212"/>
      <c r="S118" s="177"/>
      <c r="T118" s="177"/>
      <c r="V118" s="177"/>
      <c r="W118" s="177"/>
      <c r="Y118" s="177"/>
      <c r="Z118" s="177"/>
      <c r="AB118" s="177"/>
      <c r="AC118" s="177"/>
    </row>
    <row r="119" spans="2:29" ht="15.75" customHeight="1" x14ac:dyDescent="0.25">
      <c r="B119" s="8"/>
      <c r="D119" s="8"/>
      <c r="E119" s="8"/>
      <c r="I119" s="8"/>
      <c r="J119" s="8"/>
      <c r="S119" s="177"/>
      <c r="T119" s="177"/>
      <c r="V119" s="177"/>
      <c r="W119" s="177"/>
      <c r="Y119" s="177"/>
      <c r="Z119" s="177"/>
      <c r="AB119" s="177"/>
      <c r="AC119" s="177"/>
    </row>
    <row r="120" spans="2:29" ht="15.75" customHeight="1" x14ac:dyDescent="0.25">
      <c r="B120" s="8" t="s">
        <v>67</v>
      </c>
      <c r="D120" s="136"/>
      <c r="E120" s="136"/>
      <c r="F120" s="140"/>
      <c r="G120" s="140"/>
      <c r="I120" s="136"/>
      <c r="J120" s="136"/>
      <c r="K120" s="140"/>
      <c r="L120" s="140"/>
      <c r="S120" s="177"/>
      <c r="T120" s="177"/>
      <c r="V120" s="177"/>
      <c r="W120" s="177"/>
      <c r="Y120" s="177"/>
      <c r="Z120" s="177"/>
      <c r="AB120" s="177"/>
      <c r="AC120" s="177"/>
    </row>
    <row r="121" spans="2:29" ht="15.75" customHeight="1" x14ac:dyDescent="0.25">
      <c r="D121" s="135"/>
      <c r="E121" s="135"/>
      <c r="I121" s="135"/>
      <c r="J121" s="135"/>
      <c r="S121" s="177"/>
      <c r="T121" s="177"/>
      <c r="V121" s="177"/>
      <c r="W121" s="177"/>
      <c r="Y121" s="177"/>
      <c r="Z121" s="177"/>
      <c r="AB121" s="177"/>
      <c r="AC121" s="177"/>
    </row>
    <row r="122" spans="2:29" ht="15.75" customHeight="1" x14ac:dyDescent="0.25">
      <c r="B122" s="63" t="s">
        <v>5</v>
      </c>
      <c r="D122" s="125">
        <v>2843.3284953498001</v>
      </c>
      <c r="E122" s="125">
        <v>4160.8924920259997</v>
      </c>
      <c r="F122" s="125"/>
      <c r="G122" s="125"/>
      <c r="I122" s="125">
        <v>2923.8740000000003</v>
      </c>
      <c r="J122" s="125">
        <v>4528.6579999999994</v>
      </c>
      <c r="K122" s="125">
        <v>4943.7889999999998</v>
      </c>
      <c r="L122" s="125">
        <v>3597.1925226449002</v>
      </c>
      <c r="N122" s="125">
        <v>2893.2979999999998</v>
      </c>
      <c r="O122" s="125">
        <v>3965.6109999999999</v>
      </c>
      <c r="P122" s="125">
        <v>4868.7710000000006</v>
      </c>
      <c r="Q122" s="125">
        <v>3551.9119014646039</v>
      </c>
      <c r="S122" s="181">
        <f t="shared" ref="S122:T123" si="102">SUMIFS($C122:$R122,$C$7:$R$7,S$7,$C$6:$R$6,S$6)</f>
        <v>4160.8924920259997</v>
      </c>
      <c r="T122" s="181">
        <f t="shared" si="102"/>
        <v>4528.6579999999994</v>
      </c>
      <c r="V122" s="181">
        <f t="shared" ref="V122:W123" si="103">SUMIF($C$1:$R$1,V$1,$C122:$R122)</f>
        <v>15545.202510020701</v>
      </c>
      <c r="W122" s="181">
        <f t="shared" si="103"/>
        <v>15873.214901464604</v>
      </c>
      <c r="Y122" s="181">
        <f>SUMIFS($C122:$R122,$C$7:$R$7,VALUE(RIGHT(Y$7,4)),$C$1:$R$1,Y$1)</f>
        <v>7004.2209873758002</v>
      </c>
      <c r="Z122" s="181">
        <f>SUMIFS($C122:$R122,$C$7:$R$7,VALUE(RIGHT(Z$7,4)),$C$1:$R$1,Z$1)</f>
        <v>7452.5319999999992</v>
      </c>
      <c r="AB122" s="181">
        <f t="shared" ref="AB122:AC123" si="104">SUMIF($C$7:$R$7,AB$7,$C122:$R122)</f>
        <v>15993.5135226449</v>
      </c>
      <c r="AC122" s="181">
        <f t="shared" si="104"/>
        <v>15279.591901464604</v>
      </c>
    </row>
    <row r="123" spans="2:29" ht="15.75" customHeight="1" x14ac:dyDescent="0.25">
      <c r="B123" s="63" t="s">
        <v>69</v>
      </c>
      <c r="D123" s="65">
        <v>-2488.8214648826001</v>
      </c>
      <c r="E123" s="65">
        <v>-3476.9279173051987</v>
      </c>
      <c r="F123" s="65"/>
      <c r="G123" s="65"/>
      <c r="I123" s="65">
        <v>-2502.3829999999998</v>
      </c>
      <c r="J123" s="65">
        <v>-3723.1800000000003</v>
      </c>
      <c r="K123" s="65">
        <v>-4098.8250000000007</v>
      </c>
      <c r="L123" s="65">
        <v>-3305.9442933609043</v>
      </c>
      <c r="N123" s="65">
        <v>-2481.8139999999999</v>
      </c>
      <c r="O123" s="65">
        <v>-3259.8669999999997</v>
      </c>
      <c r="P123" s="65">
        <v>-3683.7439999999997</v>
      </c>
      <c r="Q123" s="65">
        <v>-2854.9192022104035</v>
      </c>
      <c r="S123" s="181">
        <f t="shared" si="102"/>
        <v>-3476.9279173051987</v>
      </c>
      <c r="T123" s="181">
        <f t="shared" si="102"/>
        <v>-3723.1800000000003</v>
      </c>
      <c r="V123" s="181">
        <f t="shared" si="103"/>
        <v>-13370.518675548703</v>
      </c>
      <c r="W123" s="181">
        <f t="shared" si="103"/>
        <v>-12764.226202210404</v>
      </c>
      <c r="Y123" s="181">
        <f>SUMIFS($C123:$R123,$C$7:$R$7,VALUE(RIGHT(Y$7,4)),$C$1:$R$1,Y$1)</f>
        <v>-5965.7493821877988</v>
      </c>
      <c r="Z123" s="181">
        <f>SUMIFS($C123:$R123,$C$7:$R$7,VALUE(RIGHT(Z$7,4)),$C$1:$R$1,Z$1)</f>
        <v>-6225.5630000000001</v>
      </c>
      <c r="AB123" s="181">
        <f t="shared" si="104"/>
        <v>-13630.332293360905</v>
      </c>
      <c r="AC123" s="181">
        <f t="shared" si="104"/>
        <v>-12280.344202210403</v>
      </c>
    </row>
    <row r="124" spans="2:29" ht="15.75" customHeight="1" x14ac:dyDescent="0.25">
      <c r="B124" s="141" t="s">
        <v>70</v>
      </c>
      <c r="D124" s="142">
        <f t="shared" ref="D124:G124" si="105">SUM(D122:D123)</f>
        <v>354.50703046719991</v>
      </c>
      <c r="E124" s="142">
        <f t="shared" si="105"/>
        <v>683.96457472080101</v>
      </c>
      <c r="F124" s="142">
        <f t="shared" si="105"/>
        <v>0</v>
      </c>
      <c r="G124" s="142">
        <f t="shared" si="105"/>
        <v>0</v>
      </c>
      <c r="I124" s="142">
        <f t="shared" ref="I124:N124" si="106">SUM(I122:I123)</f>
        <v>421.49100000000044</v>
      </c>
      <c r="J124" s="142">
        <f t="shared" si="106"/>
        <v>805.47799999999916</v>
      </c>
      <c r="K124" s="142">
        <f t="shared" si="106"/>
        <v>844.96399999999903</v>
      </c>
      <c r="L124" s="142">
        <f t="shared" ref="L124" si="107">SUM(L122:L123)</f>
        <v>291.2482292839959</v>
      </c>
      <c r="N124" s="142">
        <f t="shared" si="106"/>
        <v>411.48399999999992</v>
      </c>
      <c r="O124" s="142">
        <f t="shared" ref="O124:Q124" si="108">SUM(O122:O123)</f>
        <v>705.74400000000014</v>
      </c>
      <c r="P124" s="142">
        <f t="shared" si="108"/>
        <v>1185.027000000001</v>
      </c>
      <c r="Q124" s="142">
        <f t="shared" si="108"/>
        <v>696.99269925420049</v>
      </c>
      <c r="S124" s="193">
        <f t="shared" ref="S124:AC124" si="109">SUM(S122:S123)</f>
        <v>683.96457472080101</v>
      </c>
      <c r="T124" s="193">
        <f t="shared" si="109"/>
        <v>805.47799999999916</v>
      </c>
      <c r="V124" s="193">
        <f t="shared" si="109"/>
        <v>2174.6838344719981</v>
      </c>
      <c r="W124" s="193">
        <f t="shared" si="109"/>
        <v>3108.9886992541997</v>
      </c>
      <c r="X124" s="202"/>
      <c r="Y124" s="193">
        <f t="shared" si="109"/>
        <v>1038.4716051880014</v>
      </c>
      <c r="Z124" s="193">
        <f t="shared" ref="Z124" si="110">SUM(Z122:Z123)</f>
        <v>1226.9689999999991</v>
      </c>
      <c r="AA124" s="202"/>
      <c r="AB124" s="193">
        <f t="shared" si="109"/>
        <v>2363.181229283995</v>
      </c>
      <c r="AC124" s="193">
        <f t="shared" si="109"/>
        <v>2999.2476992542015</v>
      </c>
    </row>
    <row r="125" spans="2:29" ht="15.75" customHeight="1" x14ac:dyDescent="0.25">
      <c r="D125" s="65"/>
      <c r="E125" s="65"/>
      <c r="F125" s="65"/>
      <c r="G125" s="65"/>
      <c r="I125" s="65"/>
      <c r="J125" s="65"/>
      <c r="K125" s="65"/>
      <c r="L125" s="65"/>
      <c r="N125" s="65"/>
      <c r="O125" s="65"/>
      <c r="P125" s="65"/>
      <c r="Q125" s="65"/>
      <c r="S125" s="186"/>
      <c r="T125" s="186"/>
      <c r="V125" s="186"/>
      <c r="W125" s="186"/>
      <c r="X125" s="202"/>
      <c r="Y125" s="186"/>
      <c r="Z125" s="186"/>
      <c r="AA125" s="202"/>
      <c r="AB125" s="186"/>
      <c r="AC125" s="186"/>
    </row>
    <row r="126" spans="2:29" ht="15.75" customHeight="1" x14ac:dyDescent="0.25">
      <c r="B126" s="63" t="s">
        <v>71</v>
      </c>
      <c r="D126" s="125" t="s">
        <v>8</v>
      </c>
      <c r="E126" s="125" t="s">
        <v>8</v>
      </c>
      <c r="F126" s="125"/>
      <c r="G126" s="125"/>
      <c r="I126" s="125">
        <v>108.687</v>
      </c>
      <c r="J126" s="125" t="s">
        <v>8</v>
      </c>
      <c r="K126" s="125" t="s">
        <v>8</v>
      </c>
      <c r="L126" s="125" t="s">
        <v>8</v>
      </c>
      <c r="N126" s="125" t="s">
        <v>8</v>
      </c>
      <c r="O126" s="125" t="s">
        <v>8</v>
      </c>
      <c r="P126" s="125" t="s">
        <v>8</v>
      </c>
      <c r="Q126" s="125">
        <v>41.349000000000004</v>
      </c>
      <c r="S126" s="181">
        <f t="shared" ref="S126:T131" si="111">SUMIFS($C126:$R126,$C$7:$R$7,S$7,$C$6:$R$6,S$6)</f>
        <v>0</v>
      </c>
      <c r="T126" s="181">
        <f t="shared" si="111"/>
        <v>0</v>
      </c>
      <c r="V126" s="181">
        <f t="shared" ref="V126:W131" si="112">SUMIF($C$1:$R$1,V$1,$C126:$R126)</f>
        <v>0</v>
      </c>
      <c r="W126" s="181">
        <f t="shared" si="112"/>
        <v>150.036</v>
      </c>
      <c r="Y126" s="181">
        <f t="shared" ref="Y126:Z131" si="113">SUMIFS($C126:$R126,$C$7:$R$7,VALUE(RIGHT(Y$7,4)),$C$1:$R$1,Y$1)</f>
        <v>0</v>
      </c>
      <c r="Z126" s="181">
        <f t="shared" si="113"/>
        <v>108.687</v>
      </c>
      <c r="AB126" s="181">
        <f t="shared" ref="AB126:AC131" si="114">SUMIF($C$7:$R$7,AB$7,$C126:$R126)</f>
        <v>108.687</v>
      </c>
      <c r="AC126" s="181">
        <f t="shared" si="114"/>
        <v>41.349000000000004</v>
      </c>
    </row>
    <row r="127" spans="2:29" ht="15.75" customHeight="1" x14ac:dyDescent="0.25">
      <c r="B127" s="63" t="s">
        <v>73</v>
      </c>
      <c r="D127" s="65">
        <v>-436.5758843223</v>
      </c>
      <c r="E127" s="65">
        <v>-517.88121243889987</v>
      </c>
      <c r="F127" s="65"/>
      <c r="G127" s="65"/>
      <c r="I127" s="65">
        <v>-425.69</v>
      </c>
      <c r="J127" s="65">
        <v>-532.346</v>
      </c>
      <c r="K127" s="65">
        <v>-579.26900000000012</v>
      </c>
      <c r="L127" s="65">
        <v>-518.41546664483576</v>
      </c>
      <c r="N127" s="65">
        <v>-494.53</v>
      </c>
      <c r="O127" s="65">
        <v>-572.27099999999996</v>
      </c>
      <c r="P127" s="65">
        <v>-338.43200000000002</v>
      </c>
      <c r="Q127" s="65">
        <v>-510.91526563580624</v>
      </c>
      <c r="S127" s="181">
        <f t="shared" si="111"/>
        <v>-517.88121243889987</v>
      </c>
      <c r="T127" s="181">
        <f t="shared" si="111"/>
        <v>-532.346</v>
      </c>
      <c r="V127" s="181">
        <f t="shared" si="112"/>
        <v>-2052.1415634060359</v>
      </c>
      <c r="W127" s="181">
        <f t="shared" si="112"/>
        <v>-1807.3832656358063</v>
      </c>
      <c r="Y127" s="181">
        <f t="shared" si="113"/>
        <v>-954.45709676119986</v>
      </c>
      <c r="Z127" s="181">
        <f t="shared" si="113"/>
        <v>-958.03600000000006</v>
      </c>
      <c r="AB127" s="181">
        <f t="shared" si="114"/>
        <v>-2055.7204666448361</v>
      </c>
      <c r="AC127" s="181">
        <f t="shared" si="114"/>
        <v>-1916.1482656358062</v>
      </c>
    </row>
    <row r="128" spans="2:29" ht="15.75" customHeight="1" x14ac:dyDescent="0.25">
      <c r="B128" s="63" t="s">
        <v>74</v>
      </c>
      <c r="D128" s="65">
        <v>-90.772617273200012</v>
      </c>
      <c r="E128" s="65">
        <v>-95.348260652100009</v>
      </c>
      <c r="F128" s="65"/>
      <c r="G128" s="65"/>
      <c r="I128" s="65">
        <v>-108.193</v>
      </c>
      <c r="J128" s="65">
        <v>-107.14100000000001</v>
      </c>
      <c r="K128" s="65">
        <v>-122.59899999999999</v>
      </c>
      <c r="L128" s="65">
        <v>-102.59084471950001</v>
      </c>
      <c r="N128" s="65">
        <v>-52.588999999999999</v>
      </c>
      <c r="O128" s="65">
        <v>-42.561999999999998</v>
      </c>
      <c r="P128" s="65">
        <v>-251.62700000000001</v>
      </c>
      <c r="Q128" s="65">
        <v>-173.03690100389997</v>
      </c>
      <c r="S128" s="181">
        <f t="shared" si="111"/>
        <v>-95.348260652100009</v>
      </c>
      <c r="T128" s="181">
        <f t="shared" si="111"/>
        <v>-107.14100000000001</v>
      </c>
      <c r="V128" s="181">
        <f t="shared" si="112"/>
        <v>-411.31072264480002</v>
      </c>
      <c r="W128" s="181">
        <f t="shared" si="112"/>
        <v>-639.99790100389998</v>
      </c>
      <c r="Y128" s="181">
        <f t="shared" si="113"/>
        <v>-186.12087792530002</v>
      </c>
      <c r="Z128" s="181">
        <f t="shared" si="113"/>
        <v>-215.334</v>
      </c>
      <c r="AB128" s="181">
        <f t="shared" si="114"/>
        <v>-440.5238447195</v>
      </c>
      <c r="AC128" s="181">
        <f t="shared" si="114"/>
        <v>-519.81490100389999</v>
      </c>
    </row>
    <row r="129" spans="2:29" ht="15.75" customHeight="1" x14ac:dyDescent="0.25">
      <c r="B129" s="63" t="s">
        <v>75</v>
      </c>
      <c r="D129" s="65">
        <v>6.7268400000000002</v>
      </c>
      <c r="E129" s="65">
        <v>6.46028</v>
      </c>
      <c r="F129" s="65"/>
      <c r="G129" s="65"/>
      <c r="I129" s="65">
        <v>7.1059999999999999</v>
      </c>
      <c r="J129" s="65">
        <v>0.20800000000000018</v>
      </c>
      <c r="K129" s="65">
        <v>6.7739999999999991</v>
      </c>
      <c r="L129" s="65">
        <v>6.1041800000000013</v>
      </c>
      <c r="N129" s="65">
        <v>7.2190000000000003</v>
      </c>
      <c r="O129" s="65">
        <v>7.2529999999999992</v>
      </c>
      <c r="P129" s="65">
        <v>7.604000000000001</v>
      </c>
      <c r="Q129" s="65">
        <v>10.674339999999994</v>
      </c>
      <c r="S129" s="181">
        <f t="shared" si="111"/>
        <v>6.46028</v>
      </c>
      <c r="T129" s="181">
        <f t="shared" si="111"/>
        <v>0.20800000000000018</v>
      </c>
      <c r="V129" s="181">
        <f t="shared" si="112"/>
        <v>26.065300000000001</v>
      </c>
      <c r="W129" s="181">
        <f t="shared" si="112"/>
        <v>25.592339999999993</v>
      </c>
      <c r="Y129" s="181">
        <f t="shared" si="113"/>
        <v>13.18712</v>
      </c>
      <c r="Z129" s="181">
        <f t="shared" si="113"/>
        <v>7.3140000000000001</v>
      </c>
      <c r="AB129" s="181">
        <f t="shared" si="114"/>
        <v>20.19218</v>
      </c>
      <c r="AC129" s="181">
        <f t="shared" si="114"/>
        <v>32.750339999999994</v>
      </c>
    </row>
    <row r="130" spans="2:29" ht="15.75" customHeight="1" x14ac:dyDescent="0.25">
      <c r="B130" s="63" t="s">
        <v>76</v>
      </c>
      <c r="D130" s="65">
        <v>82.054570380299978</v>
      </c>
      <c r="E130" s="65">
        <v>87.556619651500043</v>
      </c>
      <c r="F130" s="65"/>
      <c r="G130" s="65"/>
      <c r="I130" s="65">
        <v>178.41399999999999</v>
      </c>
      <c r="J130" s="65">
        <v>102.455</v>
      </c>
      <c r="K130" s="65">
        <v>118.86199999999999</v>
      </c>
      <c r="L130" s="65">
        <v>130.00775594704839</v>
      </c>
      <c r="N130" s="65">
        <v>146.02500000000001</v>
      </c>
      <c r="O130" s="65">
        <v>148.459</v>
      </c>
      <c r="P130" s="65">
        <v>131.21800000000002</v>
      </c>
      <c r="Q130" s="65">
        <v>85.02095098499899</v>
      </c>
      <c r="S130" s="181">
        <f t="shared" si="111"/>
        <v>87.556619651500043</v>
      </c>
      <c r="T130" s="181">
        <f t="shared" si="111"/>
        <v>102.455</v>
      </c>
      <c r="V130" s="181">
        <f t="shared" si="112"/>
        <v>418.48094597884841</v>
      </c>
      <c r="W130" s="181">
        <f t="shared" si="112"/>
        <v>497.10795098499898</v>
      </c>
      <c r="Y130" s="181">
        <f t="shared" si="113"/>
        <v>169.61119003180002</v>
      </c>
      <c r="Z130" s="181">
        <f t="shared" si="113"/>
        <v>280.86899999999997</v>
      </c>
      <c r="AB130" s="181">
        <f t="shared" si="114"/>
        <v>529.73875594704839</v>
      </c>
      <c r="AC130" s="181">
        <f t="shared" si="114"/>
        <v>510.72295098499904</v>
      </c>
    </row>
    <row r="131" spans="2:29" ht="15.75" customHeight="1" x14ac:dyDescent="0.25">
      <c r="B131" s="63" t="s">
        <v>77</v>
      </c>
      <c r="D131" s="125">
        <v>-157.26710020190001</v>
      </c>
      <c r="E131" s="125">
        <v>-107.73643327630003</v>
      </c>
      <c r="F131" s="125"/>
      <c r="G131" s="125"/>
      <c r="I131" s="125">
        <v>-118.842</v>
      </c>
      <c r="J131" s="125">
        <v>-120.622</v>
      </c>
      <c r="K131" s="125">
        <v>-139.43799999999999</v>
      </c>
      <c r="L131" s="125">
        <v>-77.736550788755324</v>
      </c>
      <c r="N131" s="125">
        <v>-140.91300000000001</v>
      </c>
      <c r="O131" s="125">
        <v>-107.851</v>
      </c>
      <c r="P131" s="125">
        <v>-148.54900000000001</v>
      </c>
      <c r="Q131" s="125">
        <v>-184.79329572019901</v>
      </c>
      <c r="S131" s="181">
        <f t="shared" si="111"/>
        <v>-107.73643327630003</v>
      </c>
      <c r="T131" s="181">
        <f t="shared" si="111"/>
        <v>-120.622</v>
      </c>
      <c r="V131" s="181">
        <f t="shared" si="112"/>
        <v>-482.17808426695535</v>
      </c>
      <c r="W131" s="181">
        <f t="shared" si="112"/>
        <v>-572.80629572019905</v>
      </c>
      <c r="Y131" s="181">
        <f t="shared" si="113"/>
        <v>-265.00353347820004</v>
      </c>
      <c r="Z131" s="181">
        <f t="shared" si="113"/>
        <v>-239.464</v>
      </c>
      <c r="AB131" s="181">
        <f t="shared" si="114"/>
        <v>-456.63855078875531</v>
      </c>
      <c r="AC131" s="181">
        <f t="shared" si="114"/>
        <v>-582.106295720199</v>
      </c>
    </row>
    <row r="132" spans="2:29" ht="15.75" customHeight="1" x14ac:dyDescent="0.25">
      <c r="B132" s="141" t="s">
        <v>23</v>
      </c>
      <c r="D132" s="142">
        <f t="shared" ref="D132:G132" si="115">SUM(D124:D131)</f>
        <v>-241.32716094990013</v>
      </c>
      <c r="E132" s="142">
        <f t="shared" si="115"/>
        <v>57.015568005001143</v>
      </c>
      <c r="F132" s="142">
        <f t="shared" si="115"/>
        <v>0</v>
      </c>
      <c r="G132" s="142">
        <f t="shared" si="115"/>
        <v>0</v>
      </c>
      <c r="I132" s="142">
        <f t="shared" ref="I132:N132" si="116">SUM(I124:I131)</f>
        <v>62.973000000000454</v>
      </c>
      <c r="J132" s="142">
        <f t="shared" si="116"/>
        <v>148.03199999999913</v>
      </c>
      <c r="K132" s="142">
        <f t="shared" si="116"/>
        <v>129.29399999999896</v>
      </c>
      <c r="L132" s="142">
        <f t="shared" ref="L132" si="117">SUM(L124:L131)</f>
        <v>-271.38269692204682</v>
      </c>
      <c r="N132" s="142">
        <f t="shared" si="116"/>
        <v>-123.30400000000006</v>
      </c>
      <c r="O132" s="142">
        <f t="shared" ref="O132:AC132" si="118">SUM(O124:O131)</f>
        <v>138.77200000000019</v>
      </c>
      <c r="P132" s="142">
        <f t="shared" si="118"/>
        <v>585.24100000000112</v>
      </c>
      <c r="Q132" s="142">
        <f t="shared" si="118"/>
        <v>-34.708472120705693</v>
      </c>
      <c r="S132" s="193">
        <f t="shared" si="118"/>
        <v>57.015568005001143</v>
      </c>
      <c r="T132" s="193">
        <f t="shared" si="118"/>
        <v>148.03199999999913</v>
      </c>
      <c r="V132" s="193">
        <f t="shared" si="118"/>
        <v>-326.40028986694472</v>
      </c>
      <c r="W132" s="193">
        <f t="shared" si="118"/>
        <v>761.53752787929341</v>
      </c>
      <c r="X132" s="202"/>
      <c r="Y132" s="193">
        <f t="shared" si="118"/>
        <v>-184.31159294489854</v>
      </c>
      <c r="Z132" s="193">
        <f t="shared" ref="Z132" si="119">SUM(Z124:Z131)</f>
        <v>211.00499999999892</v>
      </c>
      <c r="AA132" s="202"/>
      <c r="AB132" s="193">
        <f t="shared" si="118"/>
        <v>68.916303077951852</v>
      </c>
      <c r="AC132" s="193">
        <f t="shared" si="118"/>
        <v>566.00052787929542</v>
      </c>
    </row>
    <row r="133" spans="2:29" ht="15.75" customHeight="1" x14ac:dyDescent="0.25">
      <c r="B133" s="8"/>
      <c r="D133" s="68"/>
      <c r="E133" s="68"/>
      <c r="F133" s="68"/>
      <c r="G133" s="68"/>
      <c r="I133" s="68"/>
      <c r="J133" s="68"/>
      <c r="K133" s="68"/>
      <c r="L133" s="68"/>
      <c r="N133" s="68"/>
      <c r="O133" s="68"/>
      <c r="P133" s="68"/>
      <c r="Q133" s="68"/>
      <c r="S133" s="185"/>
      <c r="T133" s="185"/>
      <c r="V133" s="185"/>
      <c r="W133" s="185"/>
      <c r="X133" s="202"/>
      <c r="Y133" s="185"/>
      <c r="Z133" s="185"/>
      <c r="AA133" s="202"/>
      <c r="AB133" s="185"/>
      <c r="AC133" s="185"/>
    </row>
    <row r="134" spans="2:29" ht="15.75" customHeight="1" x14ac:dyDescent="0.25">
      <c r="B134" s="63" t="s">
        <v>79</v>
      </c>
      <c r="D134" s="125">
        <v>265.40169859790501</v>
      </c>
      <c r="E134" s="125">
        <v>-156.92126039734501</v>
      </c>
      <c r="F134" s="125"/>
      <c r="G134" s="125"/>
      <c r="I134" s="125">
        <v>24.792999999999999</v>
      </c>
      <c r="J134" s="125">
        <v>114.34399999999999</v>
      </c>
      <c r="K134" s="125">
        <v>8.3400000000000034</v>
      </c>
      <c r="L134" s="125">
        <v>-120.144455205979</v>
      </c>
      <c r="N134" s="125">
        <v>220.34100000000001</v>
      </c>
      <c r="O134" s="125">
        <v>-109.11600000000001</v>
      </c>
      <c r="P134" s="125">
        <v>92.687000000000012</v>
      </c>
      <c r="Q134" s="125">
        <v>-163.419497633232</v>
      </c>
      <c r="S134" s="181">
        <f t="shared" ref="S134:T135" si="120">SUMIFS($C134:$R134,$C$7:$R$7,S$7,$C$6:$R$6,S$6)</f>
        <v>-156.92126039734501</v>
      </c>
      <c r="T134" s="181">
        <f t="shared" si="120"/>
        <v>114.34399999999999</v>
      </c>
      <c r="V134" s="181">
        <f t="shared" ref="V134:W135" si="121">SUMIF($C$1:$R$1,V$1,$C134:$R134)</f>
        <v>-3.3240170054189946</v>
      </c>
      <c r="W134" s="181">
        <f t="shared" si="121"/>
        <v>68.404502366768014</v>
      </c>
      <c r="Y134" s="181">
        <f t="shared" ref="Y134:Z135" si="122">SUMIFS($C134:$R134,$C$7:$R$7,VALUE(RIGHT(Y$7,4)),$C$1:$R$1,Y$1)</f>
        <v>108.48043820056</v>
      </c>
      <c r="Z134" s="181">
        <f t="shared" si="122"/>
        <v>139.137</v>
      </c>
      <c r="AB134" s="181">
        <f t="shared" ref="AB134:AC135" si="123">SUMIF($C$7:$R$7,AB$7,$C134:$R134)</f>
        <v>27.332544794021004</v>
      </c>
      <c r="AC134" s="181">
        <f t="shared" si="123"/>
        <v>40.492502366768008</v>
      </c>
    </row>
    <row r="135" spans="2:29" ht="15.75" customHeight="1" x14ac:dyDescent="0.25">
      <c r="B135" s="63" t="s">
        <v>80</v>
      </c>
      <c r="D135" s="65">
        <v>-305.26947430074097</v>
      </c>
      <c r="E135" s="65">
        <v>-141.03461124858711</v>
      </c>
      <c r="F135" s="65"/>
      <c r="G135" s="65"/>
      <c r="I135" s="65">
        <v>-201.215</v>
      </c>
      <c r="J135" s="65">
        <v>-195.04600000000002</v>
      </c>
      <c r="K135" s="65">
        <v>-157.28499999999997</v>
      </c>
      <c r="L135" s="65">
        <v>8.6035768176890315</v>
      </c>
      <c r="N135" s="65">
        <v>-400.17200000000003</v>
      </c>
      <c r="O135" s="65">
        <v>-151.82899999999995</v>
      </c>
      <c r="P135" s="65">
        <v>-136.90300000000002</v>
      </c>
      <c r="Q135" s="65">
        <v>88.303798698212631</v>
      </c>
      <c r="S135" s="181">
        <f t="shared" si="120"/>
        <v>-141.03461124858711</v>
      </c>
      <c r="T135" s="181">
        <f t="shared" si="120"/>
        <v>-195.04600000000002</v>
      </c>
      <c r="V135" s="181">
        <f t="shared" si="121"/>
        <v>-594.98550873163902</v>
      </c>
      <c r="W135" s="181">
        <f t="shared" si="121"/>
        <v>-444.86020130178736</v>
      </c>
      <c r="Y135" s="181">
        <f t="shared" si="122"/>
        <v>-446.30408554932808</v>
      </c>
      <c r="Z135" s="181">
        <f t="shared" si="122"/>
        <v>-396.26100000000002</v>
      </c>
      <c r="AB135" s="181">
        <f t="shared" si="123"/>
        <v>-544.94242318231102</v>
      </c>
      <c r="AC135" s="181">
        <f t="shared" si="123"/>
        <v>-600.60020130178737</v>
      </c>
    </row>
    <row r="136" spans="2:29" ht="15.75" customHeight="1" x14ac:dyDescent="0.25">
      <c r="B136" s="141" t="s">
        <v>81</v>
      </c>
      <c r="D136" s="142">
        <f t="shared" ref="D136:F136" si="124">SUM(D134:D135)</f>
        <v>-39.867775702835957</v>
      </c>
      <c r="E136" s="142">
        <f t="shared" si="124"/>
        <v>-297.95587164593212</v>
      </c>
      <c r="F136" s="142">
        <f t="shared" si="124"/>
        <v>0</v>
      </c>
      <c r="G136" s="142">
        <f t="shared" ref="G136" si="125">SUM(G134:G135)</f>
        <v>0</v>
      </c>
      <c r="I136" s="142">
        <f t="shared" ref="I136:N136" si="126">SUM(I134:I135)</f>
        <v>-176.422</v>
      </c>
      <c r="J136" s="142">
        <f t="shared" si="126"/>
        <v>-80.702000000000027</v>
      </c>
      <c r="K136" s="142">
        <f t="shared" si="126"/>
        <v>-148.94499999999996</v>
      </c>
      <c r="L136" s="142">
        <f t="shared" ref="L136" si="127">SUM(L134:L135)</f>
        <v>-111.54087838828997</v>
      </c>
      <c r="N136" s="142">
        <f t="shared" si="126"/>
        <v>-179.83100000000002</v>
      </c>
      <c r="O136" s="142">
        <f t="shared" ref="O136:AC136" si="128">SUM(O134:O135)</f>
        <v>-260.94499999999994</v>
      </c>
      <c r="P136" s="142">
        <f t="shared" si="128"/>
        <v>-44.216000000000008</v>
      </c>
      <c r="Q136" s="142">
        <f t="shared" si="128"/>
        <v>-75.115698935019367</v>
      </c>
      <c r="S136" s="193">
        <f t="shared" si="128"/>
        <v>-297.95587164593212</v>
      </c>
      <c r="T136" s="193">
        <f t="shared" si="128"/>
        <v>-80.702000000000027</v>
      </c>
      <c r="V136" s="193">
        <f t="shared" si="128"/>
        <v>-598.30952573705804</v>
      </c>
      <c r="W136" s="193">
        <f t="shared" si="128"/>
        <v>-376.45569893501931</v>
      </c>
      <c r="X136" s="202"/>
      <c r="Y136" s="193">
        <f t="shared" si="128"/>
        <v>-337.82364734876808</v>
      </c>
      <c r="Z136" s="193">
        <f t="shared" ref="Z136" si="129">SUM(Z134:Z135)</f>
        <v>-257.12400000000002</v>
      </c>
      <c r="AA136" s="202"/>
      <c r="AB136" s="193">
        <f t="shared" si="128"/>
        <v>-517.60987838828999</v>
      </c>
      <c r="AC136" s="193">
        <f t="shared" si="128"/>
        <v>-560.10769893501936</v>
      </c>
    </row>
    <row r="137" spans="2:29" ht="15.75" customHeight="1" x14ac:dyDescent="0.25">
      <c r="D137" s="65"/>
      <c r="E137" s="65"/>
      <c r="F137" s="65"/>
      <c r="G137" s="65"/>
      <c r="I137" s="65"/>
      <c r="J137" s="65"/>
      <c r="K137" s="65"/>
      <c r="L137" s="65"/>
      <c r="N137" s="65"/>
      <c r="O137" s="65"/>
      <c r="P137" s="65"/>
      <c r="Q137" s="65"/>
      <c r="S137" s="186"/>
      <c r="T137" s="186"/>
      <c r="V137" s="186"/>
      <c r="W137" s="186"/>
      <c r="X137" s="202"/>
      <c r="Y137" s="186"/>
      <c r="Z137" s="186"/>
      <c r="AA137" s="202"/>
      <c r="AB137" s="186"/>
      <c r="AC137" s="186"/>
    </row>
    <row r="138" spans="2:29" ht="15.75" customHeight="1" x14ac:dyDescent="0.25">
      <c r="B138" s="8" t="s">
        <v>25</v>
      </c>
      <c r="D138" s="68">
        <f t="shared" ref="D138:G138" si="130">D132+D136</f>
        <v>-281.19493665273609</v>
      </c>
      <c r="E138" s="68">
        <f t="shared" si="130"/>
        <v>-240.94030364093098</v>
      </c>
      <c r="F138" s="68">
        <f t="shared" si="130"/>
        <v>0</v>
      </c>
      <c r="G138" s="68">
        <f t="shared" si="130"/>
        <v>0</v>
      </c>
      <c r="I138" s="68">
        <f t="shared" ref="I138:K138" si="131">I132+I136</f>
        <v>-113.44899999999954</v>
      </c>
      <c r="J138" s="68">
        <f t="shared" si="131"/>
        <v>67.329999999999103</v>
      </c>
      <c r="K138" s="68">
        <f t="shared" si="131"/>
        <v>-19.651000000001005</v>
      </c>
      <c r="L138" s="68">
        <f t="shared" ref="L138" si="132">L132+L136</f>
        <v>-382.92357531033679</v>
      </c>
      <c r="N138" s="68">
        <f t="shared" ref="N138:AC138" si="133">N132+N136</f>
        <v>-303.1350000000001</v>
      </c>
      <c r="O138" s="68">
        <f t="shared" si="133"/>
        <v>-122.17299999999975</v>
      </c>
      <c r="P138" s="68">
        <f t="shared" si="133"/>
        <v>541.02500000000111</v>
      </c>
      <c r="Q138" s="68">
        <f t="shared" si="133"/>
        <v>-109.82417105572506</v>
      </c>
      <c r="S138" s="185">
        <f t="shared" si="133"/>
        <v>-240.94030364093098</v>
      </c>
      <c r="T138" s="185">
        <f t="shared" si="133"/>
        <v>67.329999999999103</v>
      </c>
      <c r="V138" s="185">
        <f t="shared" si="133"/>
        <v>-924.70981560400276</v>
      </c>
      <c r="W138" s="185">
        <f t="shared" si="133"/>
        <v>385.08182894427409</v>
      </c>
      <c r="X138" s="202"/>
      <c r="Y138" s="185">
        <f t="shared" si="133"/>
        <v>-522.13524029366658</v>
      </c>
      <c r="Z138" s="185">
        <f t="shared" ref="Z138" si="134">Z132+Z136</f>
        <v>-46.119000000001108</v>
      </c>
      <c r="AA138" s="202"/>
      <c r="AB138" s="185">
        <f t="shared" si="133"/>
        <v>-448.69357531033813</v>
      </c>
      <c r="AC138" s="185">
        <f t="shared" si="133"/>
        <v>5.8928289442760615</v>
      </c>
    </row>
    <row r="139" spans="2:29" ht="15.75" customHeight="1" x14ac:dyDescent="0.25">
      <c r="B139" s="63" t="s">
        <v>26</v>
      </c>
      <c r="D139" s="125">
        <v>-12.820697108971</v>
      </c>
      <c r="E139" s="125">
        <v>-3.7493213078689962</v>
      </c>
      <c r="F139" s="125"/>
      <c r="G139" s="125"/>
      <c r="I139" s="125">
        <v>-6.0389999999999997</v>
      </c>
      <c r="J139" s="125">
        <v>-4.8160000000000007</v>
      </c>
      <c r="K139" s="125">
        <v>-6.9969999999999999</v>
      </c>
      <c r="L139" s="125">
        <v>14.221920115403002</v>
      </c>
      <c r="N139" s="125">
        <v>1.9410000000000001</v>
      </c>
      <c r="O139" s="125">
        <v>-5.9529999999999994</v>
      </c>
      <c r="P139" s="125">
        <v>-14.076000000000001</v>
      </c>
      <c r="Q139" s="125">
        <v>603.86710545459994</v>
      </c>
      <c r="S139" s="181">
        <f t="shared" ref="S139:T139" si="135">SUMIFS($C139:$R139,$C$7:$R$7,S$7,$C$6:$R$6,S$6)</f>
        <v>-3.7493213078689962</v>
      </c>
      <c r="T139" s="181">
        <f t="shared" si="135"/>
        <v>-4.8160000000000007</v>
      </c>
      <c r="V139" s="181">
        <f t="shared" ref="V139:W139" si="136">SUMIF($C$1:$R$1,V$1,$C139:$R139)</f>
        <v>-9.3450983014369946</v>
      </c>
      <c r="W139" s="181">
        <f t="shared" si="136"/>
        <v>578.9361054545999</v>
      </c>
      <c r="Y139" s="181">
        <f>SUMIFS($C139:$R139,$C$7:$R$7,VALUE(RIGHT(Y$7,4)),$C$1:$R$1,Y$1)</f>
        <v>-16.570018416839996</v>
      </c>
      <c r="Z139" s="181">
        <f>SUMIFS($C139:$R139,$C$7:$R$7,VALUE(RIGHT(Z$7,4)),$C$1:$R$1,Z$1)</f>
        <v>-10.855</v>
      </c>
      <c r="AB139" s="181">
        <f t="shared" ref="AB139:AC139" si="137">SUMIF($C$7:$R$7,AB$7,$C139:$R139)</f>
        <v>-3.6300798845969986</v>
      </c>
      <c r="AC139" s="181">
        <f t="shared" si="137"/>
        <v>585.77910545459997</v>
      </c>
    </row>
    <row r="140" spans="2:29" ht="15.75" customHeight="1" x14ac:dyDescent="0.25">
      <c r="B140" s="141" t="s">
        <v>27</v>
      </c>
      <c r="D140" s="142">
        <f>SUM(D138:D139)</f>
        <v>-294.01563376170708</v>
      </c>
      <c r="E140" s="142">
        <f>SUM(E138:E139)</f>
        <v>-244.68962494879997</v>
      </c>
      <c r="F140" s="142">
        <f>SUM(F138:F139)</f>
        <v>0</v>
      </c>
      <c r="G140" s="142">
        <f>SUM(G138:G139)</f>
        <v>0</v>
      </c>
      <c r="I140" s="142">
        <f>SUM(I138:I139)</f>
        <v>-119.48799999999954</v>
      </c>
      <c r="J140" s="142">
        <f>SUM(J138:J139)</f>
        <v>62.513999999999101</v>
      </c>
      <c r="K140" s="142">
        <f>SUM(K138:K139)</f>
        <v>-26.648000000001005</v>
      </c>
      <c r="L140" s="142">
        <f>SUM(L138:L139)</f>
        <v>-368.70165519493378</v>
      </c>
      <c r="N140" s="142">
        <f>SUM(N138:N139)</f>
        <v>-301.19400000000013</v>
      </c>
      <c r="O140" s="142">
        <f>SUM(O138:O139)</f>
        <v>-128.12599999999975</v>
      </c>
      <c r="P140" s="142">
        <f>SUM(P138:P139)</f>
        <v>526.94900000000109</v>
      </c>
      <c r="Q140" s="142">
        <f>SUM(Q138:Q139)</f>
        <v>494.04293439887488</v>
      </c>
      <c r="S140" s="193">
        <f>SUM(S138:S139)</f>
        <v>-244.68962494879997</v>
      </c>
      <c r="T140" s="193">
        <f>SUM(T138:T139)</f>
        <v>62.513999999999101</v>
      </c>
      <c r="V140" s="193">
        <f>SUM(V138:V139)</f>
        <v>-934.05491390543978</v>
      </c>
      <c r="W140" s="193">
        <f>SUM(W138:W139)</f>
        <v>964.01793439887399</v>
      </c>
      <c r="X140" s="202"/>
      <c r="Y140" s="193">
        <f>SUM(Y138:Y139)</f>
        <v>-538.70525871050654</v>
      </c>
      <c r="Z140" s="193">
        <f>SUM(Z138:Z139)</f>
        <v>-56.974000000001112</v>
      </c>
      <c r="AA140" s="202"/>
      <c r="AB140" s="193">
        <f>SUM(AB138:AB139)</f>
        <v>-452.32365519493516</v>
      </c>
      <c r="AC140" s="193">
        <f>SUM(AC138:AC139)</f>
        <v>591.67193439887603</v>
      </c>
    </row>
    <row r="141" spans="2:29" x14ac:dyDescent="0.25">
      <c r="S141" s="177"/>
      <c r="T141" s="177"/>
      <c r="V141" s="177"/>
      <c r="W141" s="177"/>
      <c r="Y141" s="177"/>
      <c r="Z141" s="177"/>
      <c r="AB141" s="177"/>
      <c r="AC141" s="177"/>
    </row>
    <row r="142" spans="2:29" ht="15.75" customHeight="1" x14ac:dyDescent="0.25">
      <c r="B142" s="8" t="s">
        <v>82</v>
      </c>
      <c r="D142" s="65"/>
      <c r="E142" s="65"/>
      <c r="I142" s="65"/>
      <c r="J142" s="65"/>
      <c r="N142" s="65"/>
      <c r="O142" s="65"/>
      <c r="P142" s="65"/>
      <c r="Q142" s="65"/>
      <c r="S142" s="186"/>
      <c r="T142" s="186"/>
      <c r="V142" s="186"/>
      <c r="W142" s="186"/>
      <c r="Y142" s="186"/>
      <c r="Z142" s="186"/>
      <c r="AB142" s="186"/>
      <c r="AC142" s="186"/>
    </row>
    <row r="143" spans="2:29" ht="15.75" customHeight="1" x14ac:dyDescent="0.25">
      <c r="B143" s="63" t="s">
        <v>83</v>
      </c>
      <c r="D143" s="68">
        <f>SUM(D140)</f>
        <v>-294.01563376170708</v>
      </c>
      <c r="E143" s="68">
        <f>SUM(E140)</f>
        <v>-244.68962494879997</v>
      </c>
      <c r="F143" s="65"/>
      <c r="G143" s="65"/>
      <c r="I143" s="65">
        <f>I140</f>
        <v>-119.48799999999954</v>
      </c>
      <c r="J143" s="65">
        <f>J140</f>
        <v>62.513999999999101</v>
      </c>
      <c r="K143" s="65">
        <f>K140</f>
        <v>-26.648000000001005</v>
      </c>
      <c r="L143" s="65">
        <f>L140</f>
        <v>-368.70165519493378</v>
      </c>
      <c r="N143" s="65">
        <f>N140</f>
        <v>-301.19400000000013</v>
      </c>
      <c r="O143" s="65">
        <f>O140</f>
        <v>-128.12599999999975</v>
      </c>
      <c r="P143" s="65">
        <f>P140</f>
        <v>526.94900000000109</v>
      </c>
      <c r="Q143" s="65">
        <f>Q140</f>
        <v>494.04293439887488</v>
      </c>
      <c r="S143" s="181">
        <f t="shared" ref="S143:T143" si="138">SUMIFS($C143:$R143,$C$7:$R$7,S$7,$C$6:$R$6,S$6)</f>
        <v>-244.68962494879997</v>
      </c>
      <c r="T143" s="181">
        <f t="shared" si="138"/>
        <v>62.513999999999101</v>
      </c>
      <c r="V143" s="186">
        <f>V140</f>
        <v>-934.05491390543978</v>
      </c>
      <c r="W143" s="186">
        <f>W140</f>
        <v>964.01793439887399</v>
      </c>
      <c r="Y143" s="186">
        <f>Y140</f>
        <v>-538.70525871050654</v>
      </c>
      <c r="Z143" s="186">
        <f>Z140</f>
        <v>-56.974000000001112</v>
      </c>
      <c r="AB143" s="186">
        <f>AB140</f>
        <v>-452.32365519493516</v>
      </c>
      <c r="AC143" s="186">
        <f>AC140</f>
        <v>591.67193439887603</v>
      </c>
    </row>
    <row r="144" spans="2:29" ht="15.75" customHeight="1" x14ac:dyDescent="0.25">
      <c r="B144" s="70"/>
      <c r="D144" s="65"/>
      <c r="E144" s="65"/>
      <c r="F144" s="65"/>
      <c r="G144" s="65"/>
      <c r="I144" s="65"/>
      <c r="J144" s="65"/>
      <c r="K144" s="65"/>
      <c r="L144" s="65"/>
      <c r="N144" s="65"/>
      <c r="O144" s="65"/>
      <c r="P144" s="65"/>
      <c r="Q144" s="65"/>
      <c r="S144" s="186"/>
      <c r="T144" s="186"/>
      <c r="V144" s="186"/>
      <c r="W144" s="186"/>
      <c r="Y144" s="186"/>
      <c r="Z144" s="186"/>
      <c r="AB144" s="186"/>
      <c r="AC144" s="186"/>
    </row>
    <row r="145" spans="2:31" ht="15.75" customHeight="1" x14ac:dyDescent="0.25">
      <c r="B145" s="70" t="s">
        <v>84</v>
      </c>
      <c r="D145" s="68"/>
      <c r="E145" s="68"/>
      <c r="F145" s="68"/>
      <c r="G145" s="68"/>
      <c r="I145" s="68"/>
      <c r="J145" s="68"/>
      <c r="K145" s="68"/>
      <c r="L145" s="68"/>
      <c r="N145" s="68"/>
      <c r="O145" s="68"/>
      <c r="P145" s="68"/>
      <c r="Q145" s="68"/>
      <c r="S145" s="185"/>
      <c r="T145" s="185"/>
      <c r="V145" s="185"/>
      <c r="W145" s="185"/>
      <c r="Y145" s="185"/>
      <c r="Z145" s="185"/>
      <c r="AB145" s="185"/>
      <c r="AC145" s="185"/>
    </row>
    <row r="146" spans="2:31" ht="15.75" customHeight="1" x14ac:dyDescent="0.25">
      <c r="B146" s="63" t="s">
        <v>85</v>
      </c>
      <c r="D146" s="65">
        <v>53.27</v>
      </c>
      <c r="E146" s="125">
        <v>-56.287000000000006</v>
      </c>
      <c r="F146" s="65"/>
      <c r="G146" s="65"/>
      <c r="I146" s="65">
        <v>-20.13</v>
      </c>
      <c r="J146" s="65">
        <v>13.724</v>
      </c>
      <c r="K146" s="65">
        <v>-4.9660000000000002</v>
      </c>
      <c r="L146" s="65">
        <v>-24.345000000000006</v>
      </c>
      <c r="N146" s="65">
        <v>-11.706</v>
      </c>
      <c r="O146" s="65">
        <v>-12.792999999999999</v>
      </c>
      <c r="P146" s="65">
        <v>-7.7850000000000001</v>
      </c>
      <c r="Q146" s="65">
        <v>25.884</v>
      </c>
      <c r="S146" s="181">
        <f t="shared" ref="S146:T147" si="139">SUMIFS($C146:$R146,$C$7:$R$7,S$7,$C$6:$R$6,S$6)</f>
        <v>-56.287000000000006</v>
      </c>
      <c r="T146" s="181">
        <f t="shared" si="139"/>
        <v>13.724</v>
      </c>
      <c r="V146" s="181">
        <f t="shared" ref="V146:W147" si="140">SUMIF($C$1:$R$1,V$1,$C146:$R146)</f>
        <v>-32.32800000000001</v>
      </c>
      <c r="W146" s="181">
        <f t="shared" si="140"/>
        <v>11.693000000000001</v>
      </c>
      <c r="Y146" s="181">
        <f t="shared" ref="Y146:Z147" si="141">SUMIFS($C146:$R146,$C$7:$R$7,VALUE(RIGHT(Y$7,4)),$C$1:$R$1,Y$1)</f>
        <v>-3.017000000000003</v>
      </c>
      <c r="Z146" s="181">
        <f t="shared" si="141"/>
        <v>-6.4059999999999988</v>
      </c>
      <c r="AB146" s="181">
        <f t="shared" ref="AB146:AC147" si="142">SUMIF($C$7:$R$7,AB$7,$C146:$R146)</f>
        <v>-35.717000000000006</v>
      </c>
      <c r="AC146" s="181">
        <f t="shared" si="142"/>
        <v>-6.3999999999999986</v>
      </c>
    </row>
    <row r="147" spans="2:31" ht="15.75" customHeight="1" x14ac:dyDescent="0.25">
      <c r="B147" s="63" t="s">
        <v>86</v>
      </c>
      <c r="D147" s="65">
        <v>-3.3530000000000002</v>
      </c>
      <c r="E147" s="125">
        <v>-25.673999999999999</v>
      </c>
      <c r="F147" s="65"/>
      <c r="G147" s="65"/>
      <c r="I147" s="65">
        <v>69.180000000000007</v>
      </c>
      <c r="J147" s="65">
        <v>-6.3160000000000096</v>
      </c>
      <c r="K147" s="65">
        <v>-57.561999999999998</v>
      </c>
      <c r="L147" s="65">
        <v>59.640999999999998</v>
      </c>
      <c r="N147" s="65">
        <v>12.85</v>
      </c>
      <c r="O147" s="65">
        <v>3.793000000000001</v>
      </c>
      <c r="P147" s="65">
        <v>3.5479999999999983</v>
      </c>
      <c r="Q147" s="65">
        <v>-57.951999999999998</v>
      </c>
      <c r="S147" s="181">
        <f t="shared" si="139"/>
        <v>-25.673999999999999</v>
      </c>
      <c r="T147" s="181">
        <f t="shared" si="139"/>
        <v>-6.3160000000000096</v>
      </c>
      <c r="V147" s="181">
        <f t="shared" si="140"/>
        <v>-26.948</v>
      </c>
      <c r="W147" s="181">
        <f t="shared" si="140"/>
        <v>8.4599999999999937</v>
      </c>
      <c r="Y147" s="181">
        <f t="shared" si="141"/>
        <v>-29.027000000000001</v>
      </c>
      <c r="Z147" s="181">
        <f t="shared" si="141"/>
        <v>62.863999999999997</v>
      </c>
      <c r="AB147" s="181">
        <f t="shared" si="142"/>
        <v>64.942999999999998</v>
      </c>
      <c r="AC147" s="181">
        <f t="shared" si="142"/>
        <v>-37.760999999999996</v>
      </c>
    </row>
    <row r="148" spans="2:31" s="70" customFormat="1" ht="15.75" customHeight="1" x14ac:dyDescent="0.25">
      <c r="B148" s="143" t="s">
        <v>88</v>
      </c>
      <c r="D148" s="142">
        <f>SUM(D146:D147)</f>
        <v>49.917000000000002</v>
      </c>
      <c r="E148" s="142">
        <f>SUM(E146:E147)</f>
        <v>-81.961000000000013</v>
      </c>
      <c r="F148" s="142">
        <f>SUM(F146:F147)</f>
        <v>0</v>
      </c>
      <c r="G148" s="142">
        <f>SUM(G146:G147)</f>
        <v>0</v>
      </c>
      <c r="I148" s="142">
        <f>SUM(I146:I147)</f>
        <v>49.050000000000011</v>
      </c>
      <c r="J148" s="142">
        <f>SUM(J146:J147)</f>
        <v>7.4079999999999906</v>
      </c>
      <c r="K148" s="142">
        <f>SUM(K146:K147)</f>
        <v>-62.527999999999999</v>
      </c>
      <c r="L148" s="142">
        <f>SUM(L146:L147)</f>
        <v>35.295999999999992</v>
      </c>
      <c r="N148" s="142">
        <f>SUM(N146:N147)</f>
        <v>1.1440000000000001</v>
      </c>
      <c r="O148" s="142">
        <f>SUM(O146:O147)</f>
        <v>-8.9999999999999982</v>
      </c>
      <c r="P148" s="142">
        <f>SUM(P146:P147)</f>
        <v>-4.2370000000000019</v>
      </c>
      <c r="Q148" s="142">
        <f>SUM(Q146:Q147)</f>
        <v>-32.067999999999998</v>
      </c>
      <c r="S148" s="193">
        <f>SUM(S146:S147)</f>
        <v>-81.961000000000013</v>
      </c>
      <c r="T148" s="193">
        <f>SUM(T146:T147)</f>
        <v>7.4079999999999906</v>
      </c>
      <c r="U148" s="203"/>
      <c r="V148" s="193">
        <f>SUM(V146:V147)</f>
        <v>-59.27600000000001</v>
      </c>
      <c r="W148" s="193">
        <f>SUM(W146:W147)</f>
        <v>20.152999999999995</v>
      </c>
      <c r="X148" s="203"/>
      <c r="Y148" s="193">
        <f>SUM(Y146:Y147)</f>
        <v>-32.044000000000004</v>
      </c>
      <c r="Z148" s="193">
        <f>SUM(Z146:Z147)</f>
        <v>56.457999999999998</v>
      </c>
      <c r="AA148" s="203"/>
      <c r="AB148" s="193">
        <f>SUM(AB146:AB147)</f>
        <v>29.225999999999992</v>
      </c>
      <c r="AC148" s="193">
        <f>SUM(AC146:AC147)</f>
        <v>-44.160999999999994</v>
      </c>
      <c r="AE148" s="63"/>
    </row>
    <row r="149" spans="2:31" s="70" customFormat="1" ht="15.75" customHeight="1" x14ac:dyDescent="0.25">
      <c r="D149" s="68"/>
      <c r="E149" s="68"/>
      <c r="F149" s="68"/>
      <c r="G149" s="68"/>
      <c r="I149" s="68"/>
      <c r="J149" s="68"/>
      <c r="K149" s="68"/>
      <c r="L149" s="68"/>
      <c r="N149" s="68"/>
      <c r="O149" s="68"/>
      <c r="P149" s="68"/>
      <c r="Q149" s="8"/>
      <c r="S149" s="185"/>
      <c r="T149" s="185"/>
      <c r="U149" s="203"/>
      <c r="V149" s="185"/>
      <c r="W149" s="185"/>
      <c r="X149" s="203"/>
      <c r="Y149" s="185"/>
      <c r="Z149" s="185"/>
      <c r="AA149" s="203"/>
      <c r="AB149" s="185"/>
      <c r="AC149" s="185"/>
      <c r="AE149" s="63"/>
    </row>
    <row r="150" spans="2:31" ht="15.75" customHeight="1" x14ac:dyDescent="0.25">
      <c r="B150" s="70" t="s">
        <v>89</v>
      </c>
      <c r="D150" s="68"/>
      <c r="E150" s="68"/>
      <c r="F150" s="68"/>
      <c r="G150" s="68"/>
      <c r="I150" s="68"/>
      <c r="J150" s="68"/>
      <c r="K150" s="68"/>
      <c r="L150" s="68"/>
      <c r="N150" s="68"/>
      <c r="O150" s="68"/>
      <c r="P150" s="68"/>
      <c r="Q150" s="8"/>
      <c r="S150" s="185"/>
      <c r="T150" s="185"/>
      <c r="V150" s="185"/>
      <c r="W150" s="185"/>
      <c r="Y150" s="185"/>
      <c r="Z150" s="185"/>
      <c r="AB150" s="185"/>
      <c r="AC150" s="185"/>
    </row>
    <row r="151" spans="2:31" ht="15.75" customHeight="1" x14ac:dyDescent="0.25">
      <c r="B151" s="63" t="s">
        <v>90</v>
      </c>
      <c r="D151" s="125" t="s">
        <v>8</v>
      </c>
      <c r="E151" s="125" t="s">
        <v>8</v>
      </c>
      <c r="F151" s="125"/>
      <c r="G151" s="125"/>
      <c r="I151" s="125" t="s">
        <v>8</v>
      </c>
      <c r="J151" s="125" t="s">
        <v>8</v>
      </c>
      <c r="K151" s="125" t="s">
        <v>8</v>
      </c>
      <c r="L151" s="125">
        <v>-16.872999999999998</v>
      </c>
      <c r="N151" s="125" t="s">
        <v>8</v>
      </c>
      <c r="O151" s="125" t="s">
        <v>8</v>
      </c>
      <c r="P151" s="125" t="s">
        <v>8</v>
      </c>
      <c r="Q151" s="125">
        <v>-148.4</v>
      </c>
      <c r="S151" s="181">
        <f t="shared" ref="S151:T153" si="143">SUMIFS($C151:$R151,$C$7:$R$7,S$7,$C$6:$R$6,S$6)</f>
        <v>0</v>
      </c>
      <c r="T151" s="181">
        <f t="shared" si="143"/>
        <v>0</v>
      </c>
      <c r="V151" s="181">
        <f t="shared" ref="V151:W153" si="144">SUMIF($C$1:$R$1,V$1,$C151:$R151)</f>
        <v>-16.872999999999998</v>
      </c>
      <c r="W151" s="181">
        <f t="shared" si="144"/>
        <v>-148.4</v>
      </c>
      <c r="Y151" s="181">
        <f t="shared" ref="Y151:Z153" si="145">SUMIFS($C151:$R151,$C$7:$R$7,VALUE(RIGHT(Y$7,4)),$C$1:$R$1,Y$1)</f>
        <v>0</v>
      </c>
      <c r="Z151" s="181">
        <f t="shared" si="145"/>
        <v>0</v>
      </c>
      <c r="AB151" s="181">
        <f t="shared" ref="AB151:AC153" si="146">SUMIF($C$7:$R$7,AB$7,$C151:$R151)</f>
        <v>-16.872999999999998</v>
      </c>
      <c r="AC151" s="181">
        <f t="shared" si="146"/>
        <v>-148.4</v>
      </c>
    </row>
    <row r="152" spans="2:31" ht="15.75" customHeight="1" x14ac:dyDescent="0.25">
      <c r="B152" s="63" t="s">
        <v>91</v>
      </c>
      <c r="D152" s="125" t="s">
        <v>8</v>
      </c>
      <c r="E152" s="125" t="s">
        <v>8</v>
      </c>
      <c r="F152" s="125"/>
      <c r="G152" s="125"/>
      <c r="I152" s="125" t="s">
        <v>8</v>
      </c>
      <c r="J152" s="125" t="s">
        <v>8</v>
      </c>
      <c r="K152" s="125" t="s">
        <v>8</v>
      </c>
      <c r="L152" s="125">
        <v>9.0909999999999993</v>
      </c>
      <c r="N152" s="125" t="s">
        <v>8</v>
      </c>
      <c r="O152" s="125" t="s">
        <v>8</v>
      </c>
      <c r="P152" s="125" t="s">
        <v>8</v>
      </c>
      <c r="Q152" s="125">
        <v>11.4</v>
      </c>
      <c r="S152" s="181">
        <f t="shared" si="143"/>
        <v>0</v>
      </c>
      <c r="T152" s="181">
        <f t="shared" si="143"/>
        <v>0</v>
      </c>
      <c r="V152" s="181">
        <f t="shared" si="144"/>
        <v>9.0909999999999993</v>
      </c>
      <c r="W152" s="181">
        <f t="shared" si="144"/>
        <v>11.4</v>
      </c>
      <c r="Y152" s="181">
        <f t="shared" si="145"/>
        <v>0</v>
      </c>
      <c r="Z152" s="181">
        <f t="shared" si="145"/>
        <v>0</v>
      </c>
      <c r="AB152" s="181">
        <f t="shared" si="146"/>
        <v>9.0909999999999993</v>
      </c>
      <c r="AC152" s="181">
        <f t="shared" si="146"/>
        <v>11.4</v>
      </c>
    </row>
    <row r="153" spans="2:31" ht="15.75" customHeight="1" x14ac:dyDescent="0.25">
      <c r="B153" s="63" t="s">
        <v>92</v>
      </c>
      <c r="D153" s="125" t="s">
        <v>8</v>
      </c>
      <c r="E153" s="65">
        <v>2.4780000000000002</v>
      </c>
      <c r="F153" s="65"/>
      <c r="G153" s="65"/>
      <c r="I153" s="65">
        <v>0</v>
      </c>
      <c r="J153" s="65">
        <v>9.4570000000000007</v>
      </c>
      <c r="K153" s="65">
        <v>5.3439999999999994</v>
      </c>
      <c r="L153" s="65">
        <v>8.5780000000000012</v>
      </c>
      <c r="N153" s="65">
        <v>0</v>
      </c>
      <c r="O153" s="65">
        <v>8.1240000000000006</v>
      </c>
      <c r="P153" s="65">
        <v>1.9179999999999993</v>
      </c>
      <c r="Q153" s="65">
        <v>4.7580000000000009</v>
      </c>
      <c r="S153" s="181">
        <f t="shared" si="143"/>
        <v>2.4780000000000002</v>
      </c>
      <c r="T153" s="181">
        <f t="shared" si="143"/>
        <v>9.4570000000000007</v>
      </c>
      <c r="V153" s="181">
        <f t="shared" si="144"/>
        <v>16.399999999999999</v>
      </c>
      <c r="W153" s="181">
        <f t="shared" si="144"/>
        <v>16.133000000000003</v>
      </c>
      <c r="Y153" s="181">
        <f t="shared" si="145"/>
        <v>2.4780000000000002</v>
      </c>
      <c r="Z153" s="181">
        <f t="shared" si="145"/>
        <v>9.4570000000000007</v>
      </c>
      <c r="AB153" s="181">
        <f t="shared" si="146"/>
        <v>23.379000000000001</v>
      </c>
      <c r="AC153" s="181">
        <f t="shared" si="146"/>
        <v>14.8</v>
      </c>
    </row>
    <row r="154" spans="2:31" s="70" customFormat="1" ht="15.75" customHeight="1" x14ac:dyDescent="0.25">
      <c r="B154" s="143" t="s">
        <v>93</v>
      </c>
      <c r="D154" s="142">
        <f>SUM(D151:D153)</f>
        <v>0</v>
      </c>
      <c r="E154" s="142">
        <f>SUM(E151:E153)</f>
        <v>2.4780000000000002</v>
      </c>
      <c r="F154" s="142">
        <f>SUM(F151:F153)</f>
        <v>0</v>
      </c>
      <c r="G154" s="142">
        <f>SUM(G151:G153)</f>
        <v>0</v>
      </c>
      <c r="I154" s="142">
        <f>SUM(I151:I153)</f>
        <v>0</v>
      </c>
      <c r="J154" s="142">
        <f>SUM(J151:J153)</f>
        <v>9.4570000000000007</v>
      </c>
      <c r="K154" s="142">
        <f>SUM(K151:K153)</f>
        <v>5.3439999999999994</v>
      </c>
      <c r="L154" s="142">
        <f>SUM(L151:L153)</f>
        <v>0.79600000000000293</v>
      </c>
      <c r="N154" s="142">
        <f>SUM(N151:N153)</f>
        <v>0</v>
      </c>
      <c r="O154" s="142">
        <f>SUM(O151:O153)</f>
        <v>8.1240000000000006</v>
      </c>
      <c r="P154" s="142">
        <f>SUM(P151:P153)</f>
        <v>1.9179999999999993</v>
      </c>
      <c r="Q154" s="142">
        <f>SUM(Q151:Q153)</f>
        <v>-132.24199999999999</v>
      </c>
      <c r="S154" s="193">
        <f t="shared" ref="S154:AC154" si="147">SUM(S151:S153)</f>
        <v>2.4780000000000002</v>
      </c>
      <c r="T154" s="193">
        <f t="shared" si="147"/>
        <v>9.4570000000000007</v>
      </c>
      <c r="U154" s="203"/>
      <c r="V154" s="193">
        <f t="shared" si="147"/>
        <v>8.6180000000000003</v>
      </c>
      <c r="W154" s="193">
        <f t="shared" si="147"/>
        <v>-120.86699999999999</v>
      </c>
      <c r="X154" s="203"/>
      <c r="Y154" s="193">
        <f t="shared" si="147"/>
        <v>2.4780000000000002</v>
      </c>
      <c r="Z154" s="193">
        <f t="shared" ref="Z154" si="148">SUM(Z151:Z153)</f>
        <v>9.4570000000000007</v>
      </c>
      <c r="AA154" s="203"/>
      <c r="AB154" s="193">
        <f t="shared" si="147"/>
        <v>15.597000000000003</v>
      </c>
      <c r="AC154" s="193">
        <f t="shared" si="147"/>
        <v>-122.2</v>
      </c>
      <c r="AE154" s="63"/>
    </row>
    <row r="155" spans="2:31" ht="15.75" customHeight="1" x14ac:dyDescent="0.25">
      <c r="D155" s="68"/>
      <c r="E155" s="68"/>
      <c r="F155" s="68"/>
      <c r="G155" s="68"/>
      <c r="I155" s="68"/>
      <c r="J155" s="68"/>
      <c r="K155" s="68"/>
      <c r="L155" s="68"/>
      <c r="N155" s="68"/>
      <c r="O155" s="68"/>
      <c r="P155" s="68"/>
      <c r="Q155" s="8"/>
      <c r="S155" s="185"/>
      <c r="T155" s="185"/>
      <c r="V155" s="185"/>
      <c r="W155" s="185"/>
      <c r="Y155" s="185"/>
      <c r="Z155" s="185"/>
      <c r="AB155" s="185"/>
      <c r="AC155" s="185"/>
    </row>
    <row r="156" spans="2:31" ht="15.75" customHeight="1" x14ac:dyDescent="0.25">
      <c r="B156" s="63" t="s">
        <v>232</v>
      </c>
      <c r="D156" s="68">
        <f>+D148+D154</f>
        <v>49.917000000000002</v>
      </c>
      <c r="E156" s="68">
        <f>+E148+E154</f>
        <v>-79.483000000000018</v>
      </c>
      <c r="F156" s="68">
        <f>+F148+F154</f>
        <v>0</v>
      </c>
      <c r="G156" s="68">
        <f>+G148+G154</f>
        <v>0</v>
      </c>
      <c r="I156" s="68">
        <f>+I148+I154</f>
        <v>49.050000000000011</v>
      </c>
      <c r="J156" s="68">
        <f>+J148+J154</f>
        <v>16.864999999999991</v>
      </c>
      <c r="K156" s="68">
        <f>+K148+K154</f>
        <v>-57.183999999999997</v>
      </c>
      <c r="L156" s="68">
        <f>+L148+L154</f>
        <v>36.091999999999999</v>
      </c>
      <c r="N156" s="68">
        <f>+N148+N154</f>
        <v>1.1440000000000001</v>
      </c>
      <c r="O156" s="68">
        <f>+O148+O154</f>
        <v>-0.87599999999999767</v>
      </c>
      <c r="P156" s="68">
        <f>+P148+P154</f>
        <v>-2.3190000000000026</v>
      </c>
      <c r="Q156" s="68">
        <f>+Q148+Q154</f>
        <v>-164.31</v>
      </c>
      <c r="S156" s="185">
        <f t="shared" ref="S156:AC156" si="149">+S148+S154</f>
        <v>-79.483000000000018</v>
      </c>
      <c r="T156" s="185">
        <f t="shared" si="149"/>
        <v>16.864999999999991</v>
      </c>
      <c r="V156" s="185">
        <f t="shared" si="149"/>
        <v>-50.658000000000008</v>
      </c>
      <c r="W156" s="185">
        <f t="shared" si="149"/>
        <v>-100.714</v>
      </c>
      <c r="Y156" s="185">
        <f t="shared" si="149"/>
        <v>-29.566000000000003</v>
      </c>
      <c r="Z156" s="185">
        <f t="shared" ref="Z156" si="150">+Z148+Z154</f>
        <v>65.914999999999992</v>
      </c>
      <c r="AB156" s="185">
        <f t="shared" si="149"/>
        <v>44.822999999999993</v>
      </c>
      <c r="AC156" s="185">
        <f t="shared" si="149"/>
        <v>-166.36099999999999</v>
      </c>
    </row>
    <row r="157" spans="2:31" ht="15.75" customHeight="1" x14ac:dyDescent="0.25">
      <c r="B157" s="144" t="s">
        <v>95</v>
      </c>
      <c r="D157" s="142">
        <f>D143+D156</f>
        <v>-244.09863376170708</v>
      </c>
      <c r="E157" s="142">
        <f>E143+E156</f>
        <v>-324.17262494879998</v>
      </c>
      <c r="F157" s="142">
        <f>F143+F156</f>
        <v>0</v>
      </c>
      <c r="G157" s="142">
        <f>G143+G156</f>
        <v>0</v>
      </c>
      <c r="I157" s="142">
        <f>I143+I156</f>
        <v>-70.437999999999533</v>
      </c>
      <c r="J157" s="142">
        <f>J143+J156</f>
        <v>79.378999999999095</v>
      </c>
      <c r="K157" s="142">
        <f>K143+K156</f>
        <v>-83.832000000001003</v>
      </c>
      <c r="L157" s="142">
        <f>L143+L156</f>
        <v>-332.60965519493379</v>
      </c>
      <c r="N157" s="142">
        <f>N143+N156</f>
        <v>-300.05000000000013</v>
      </c>
      <c r="O157" s="142">
        <f>O143+O156</f>
        <v>-129.00199999999975</v>
      </c>
      <c r="P157" s="142">
        <f>P143+P156</f>
        <v>524.63000000000113</v>
      </c>
      <c r="Q157" s="142">
        <f>Q143+Q156</f>
        <v>329.73293439887487</v>
      </c>
      <c r="S157" s="193">
        <f>S143+S156</f>
        <v>-324.17262494879998</v>
      </c>
      <c r="T157" s="193">
        <f>T143+T156</f>
        <v>79.378999999999095</v>
      </c>
      <c r="V157" s="193">
        <f>V143+V156</f>
        <v>-984.71291390543979</v>
      </c>
      <c r="W157" s="193">
        <f>W143+W156</f>
        <v>863.30393439887393</v>
      </c>
      <c r="Y157" s="193">
        <f>Y143+Y156</f>
        <v>-568.27125871050657</v>
      </c>
      <c r="Z157" s="193">
        <f>Z143+Z156</f>
        <v>8.9409999999988798</v>
      </c>
      <c r="AB157" s="193">
        <f>AB143+AB156</f>
        <v>-407.50065519493518</v>
      </c>
      <c r="AC157" s="193">
        <f>AC143+AC156</f>
        <v>425.31093439887604</v>
      </c>
    </row>
    <row r="158" spans="2:31" ht="15.75" customHeight="1" x14ac:dyDescent="0.25">
      <c r="B158" s="8"/>
      <c r="D158" s="8"/>
      <c r="E158" s="8"/>
      <c r="I158" s="8"/>
      <c r="J158" s="8"/>
      <c r="P158" s="145"/>
      <c r="S158" s="177"/>
      <c r="T158" s="177"/>
      <c r="V158" s="177"/>
      <c r="W158" s="177"/>
      <c r="Y158" s="177"/>
      <c r="Z158" s="177"/>
      <c r="AB158" s="177"/>
      <c r="AC158" s="177"/>
    </row>
    <row r="159" spans="2:31" ht="15.75" customHeight="1" x14ac:dyDescent="0.25">
      <c r="B159" s="8"/>
      <c r="D159" s="8"/>
      <c r="E159" s="8"/>
      <c r="I159" s="8"/>
      <c r="J159" s="8"/>
      <c r="P159" s="145"/>
      <c r="S159" s="177"/>
      <c r="T159" s="177"/>
      <c r="V159" s="177"/>
      <c r="W159" s="177"/>
      <c r="Y159" s="177"/>
      <c r="Z159" s="177"/>
      <c r="AB159" s="177"/>
      <c r="AC159" s="177"/>
    </row>
    <row r="160" spans="2:31" ht="15.75" customHeight="1" x14ac:dyDescent="0.25">
      <c r="D160" s="8"/>
      <c r="E160" s="8"/>
      <c r="I160" s="8"/>
      <c r="J160" s="8"/>
      <c r="S160" s="177"/>
      <c r="T160" s="177"/>
      <c r="V160" s="177"/>
      <c r="W160" s="177"/>
      <c r="Y160" s="177"/>
      <c r="Z160" s="177"/>
      <c r="AB160" s="177"/>
      <c r="AC160" s="177"/>
    </row>
    <row r="161" spans="2:30" ht="23.25" customHeight="1" x14ac:dyDescent="0.4">
      <c r="B161" s="66" t="s">
        <v>96</v>
      </c>
      <c r="S161" s="177"/>
      <c r="T161" s="177"/>
      <c r="V161" s="177"/>
      <c r="W161" s="177"/>
      <c r="Y161" s="177"/>
      <c r="Z161" s="177"/>
      <c r="AB161" s="177"/>
      <c r="AC161" s="177"/>
    </row>
    <row r="162" spans="2:30" ht="6" customHeight="1" x14ac:dyDescent="0.25">
      <c r="B162" s="8"/>
      <c r="F162" s="8"/>
      <c r="G162" s="8"/>
      <c r="K162" s="8"/>
      <c r="L162" s="8"/>
      <c r="S162" s="177"/>
      <c r="T162" s="177"/>
      <c r="V162" s="177"/>
      <c r="W162" s="177"/>
      <c r="Y162" s="177"/>
      <c r="Z162" s="177"/>
      <c r="AB162" s="177"/>
      <c r="AC162" s="177"/>
    </row>
    <row r="163" spans="2:30" ht="15.75" customHeight="1" x14ac:dyDescent="0.25">
      <c r="D163" s="211"/>
      <c r="E163" s="212"/>
      <c r="F163" s="146"/>
      <c r="G163" s="146"/>
      <c r="I163" s="211"/>
      <c r="J163" s="212"/>
      <c r="K163" s="146"/>
      <c r="L163" s="146"/>
      <c r="S163" s="177"/>
      <c r="T163" s="177"/>
      <c r="V163" s="177"/>
      <c r="W163" s="177"/>
      <c r="Y163" s="177"/>
      <c r="Z163" s="177"/>
      <c r="AB163" s="177"/>
      <c r="AC163" s="177"/>
    </row>
    <row r="164" spans="2:30" ht="15.75" customHeight="1" x14ac:dyDescent="0.25">
      <c r="B164" s="8" t="s">
        <v>97</v>
      </c>
      <c r="D164" s="134"/>
      <c r="E164" s="134"/>
      <c r="F164" s="134"/>
      <c r="G164" s="134"/>
      <c r="I164" s="134"/>
      <c r="J164" s="134"/>
      <c r="K164" s="134"/>
      <c r="L164" s="134"/>
      <c r="S164" s="177"/>
      <c r="T164" s="177"/>
      <c r="V164" s="177"/>
      <c r="W164" s="177"/>
      <c r="Y164" s="177"/>
      <c r="Z164" s="177"/>
      <c r="AB164" s="177"/>
      <c r="AC164" s="177"/>
    </row>
    <row r="165" spans="2:30" ht="15.75" customHeight="1" x14ac:dyDescent="0.25">
      <c r="S165" s="177"/>
      <c r="T165" s="177"/>
      <c r="V165" s="177"/>
      <c r="W165" s="177"/>
      <c r="Y165" s="177"/>
      <c r="Z165" s="177"/>
      <c r="AB165" s="177"/>
      <c r="AC165" s="177"/>
    </row>
    <row r="166" spans="2:30" ht="15.75" customHeight="1" x14ac:dyDescent="0.25">
      <c r="B166" s="63" t="s">
        <v>98</v>
      </c>
      <c r="S166" s="177"/>
      <c r="T166" s="177"/>
      <c r="V166" s="177"/>
      <c r="W166" s="177"/>
      <c r="Y166" s="177"/>
      <c r="Z166" s="177"/>
      <c r="AB166" s="177"/>
      <c r="AC166" s="177"/>
    </row>
    <row r="167" spans="2:30" ht="15.75" customHeight="1" x14ac:dyDescent="0.25">
      <c r="S167" s="177"/>
      <c r="T167" s="177"/>
      <c r="V167" s="177"/>
      <c r="W167" s="177"/>
      <c r="Y167" s="177"/>
      <c r="Z167" s="177"/>
      <c r="AB167" s="177"/>
      <c r="AC167" s="177"/>
    </row>
    <row r="168" spans="2:30" ht="15.75" customHeight="1" x14ac:dyDescent="0.25">
      <c r="B168" s="63" t="s">
        <v>99</v>
      </c>
      <c r="S168" s="177"/>
      <c r="T168" s="177"/>
      <c r="V168" s="177"/>
      <c r="W168" s="177"/>
      <c r="Y168" s="177"/>
      <c r="Z168" s="177"/>
      <c r="AB168" s="177"/>
      <c r="AC168" s="177"/>
    </row>
    <row r="169" spans="2:30" ht="15.75" customHeight="1" x14ac:dyDescent="0.25">
      <c r="B169" s="63" t="s">
        <v>100</v>
      </c>
      <c r="D169" s="65">
        <v>30.6</v>
      </c>
      <c r="E169" s="65">
        <v>26.4</v>
      </c>
      <c r="F169" s="65"/>
      <c r="G169" s="65"/>
      <c r="I169" s="65">
        <v>46.403703</v>
      </c>
      <c r="J169" s="65">
        <v>45.146000000000001</v>
      </c>
      <c r="K169" s="65">
        <v>40.474485000000001</v>
      </c>
      <c r="L169" s="65">
        <v>35.5</v>
      </c>
      <c r="N169" s="65">
        <v>61.054986</v>
      </c>
      <c r="O169" s="65">
        <v>59.378999999999998</v>
      </c>
      <c r="P169" s="65">
        <v>56.906991999999995</v>
      </c>
      <c r="Q169" s="65">
        <v>50.860999999999997</v>
      </c>
      <c r="S169" s="186">
        <f t="shared" ref="S169:T169" si="151">SUMIFS($C169:$R169,$C$7:$R$7,S$7,$C$6:$R$6,S$6)</f>
        <v>26.4</v>
      </c>
      <c r="T169" s="186">
        <f t="shared" si="151"/>
        <v>45.146000000000001</v>
      </c>
      <c r="V169" s="181">
        <f t="shared" ref="V169" si="152">+S169</f>
        <v>26.4</v>
      </c>
      <c r="W169" s="181">
        <f t="shared" ref="W169" si="153">+T169</f>
        <v>45.146000000000001</v>
      </c>
      <c r="Y169" s="181">
        <f>SUMIFS($C169:$R169,$C$7:$R$7,VALUE(RIGHT(Y$7,4)),$C$6:$R$6,Y$6)</f>
        <v>26.4</v>
      </c>
      <c r="Z169" s="181">
        <f>SUMIFS($C169:$R169,$C$7:$R$7,VALUE(RIGHT(Z$7,4)),$C$6:$R$6,Z$6)</f>
        <v>45.146000000000001</v>
      </c>
      <c r="AB169" s="181">
        <f t="shared" ref="AB169:AC169" si="154">SUMIFS($C169:$R169,$C$7:$R$7,AB$7,$C$6:$R$6,AB$6)</f>
        <v>35.5</v>
      </c>
      <c r="AC169" s="181">
        <f t="shared" si="154"/>
        <v>50.860999999999997</v>
      </c>
    </row>
    <row r="170" spans="2:30" ht="15.75" customHeight="1" x14ac:dyDescent="0.25">
      <c r="B170" s="141" t="s">
        <v>101</v>
      </c>
      <c r="C170" s="8"/>
      <c r="D170" s="142">
        <f>SUM(D169:D169)</f>
        <v>30.6</v>
      </c>
      <c r="E170" s="142">
        <f>SUM(E169:E169)</f>
        <v>26.4</v>
      </c>
      <c r="F170" s="142">
        <f>SUM(F169:F169)</f>
        <v>0</v>
      </c>
      <c r="G170" s="142">
        <f>SUM(G169:G169)</f>
        <v>0</v>
      </c>
      <c r="H170" s="8"/>
      <c r="I170" s="142">
        <f>SUM(I169:I169)</f>
        <v>46.403703</v>
      </c>
      <c r="J170" s="142">
        <f>SUM(J169:J169)</f>
        <v>45.146000000000001</v>
      </c>
      <c r="K170" s="142">
        <f>SUM(K169:K169)</f>
        <v>40.474485000000001</v>
      </c>
      <c r="L170" s="142">
        <f>SUM(L169:L169)</f>
        <v>35.5</v>
      </c>
      <c r="M170" s="8"/>
      <c r="N170" s="142">
        <v>61.054986</v>
      </c>
      <c r="O170" s="142">
        <f>SUM(O169:O169)</f>
        <v>59.378999999999998</v>
      </c>
      <c r="P170" s="142">
        <f>SUM(P169:P169)</f>
        <v>56.906991999999995</v>
      </c>
      <c r="Q170" s="142">
        <f>SUM(Q169:Q169)</f>
        <v>50.860999999999997</v>
      </c>
      <c r="R170" s="8"/>
      <c r="S170" s="193">
        <f t="shared" ref="S170:AC170" si="155">SUM(S169:S169)</f>
        <v>26.4</v>
      </c>
      <c r="T170" s="193">
        <f t="shared" si="155"/>
        <v>45.146000000000001</v>
      </c>
      <c r="U170" s="200"/>
      <c r="V170" s="193">
        <f t="shared" si="155"/>
        <v>26.4</v>
      </c>
      <c r="W170" s="193">
        <f t="shared" si="155"/>
        <v>45.146000000000001</v>
      </c>
      <c r="X170" s="200"/>
      <c r="Y170" s="193">
        <f t="shared" si="155"/>
        <v>26.4</v>
      </c>
      <c r="Z170" s="193">
        <f t="shared" ref="Z170" si="156">SUM(Z169:Z169)</f>
        <v>45.146000000000001</v>
      </c>
      <c r="AA170" s="200"/>
      <c r="AB170" s="193">
        <f t="shared" si="155"/>
        <v>35.5</v>
      </c>
      <c r="AC170" s="193">
        <f t="shared" si="155"/>
        <v>50.860999999999997</v>
      </c>
      <c r="AD170" s="8"/>
    </row>
    <row r="171" spans="2:30" ht="15.75" customHeight="1" x14ac:dyDescent="0.25">
      <c r="D171" s="65"/>
      <c r="E171" s="65"/>
      <c r="F171" s="65"/>
      <c r="G171" s="65"/>
      <c r="I171" s="65"/>
      <c r="J171" s="65"/>
      <c r="K171" s="65"/>
      <c r="L171" s="65"/>
      <c r="N171" s="65"/>
      <c r="O171" s="65"/>
      <c r="P171" s="65"/>
      <c r="Q171" s="65"/>
      <c r="S171" s="186"/>
      <c r="T171" s="186"/>
      <c r="V171" s="186"/>
      <c r="W171" s="186"/>
      <c r="Y171" s="186"/>
      <c r="Z171" s="186"/>
      <c r="AB171" s="186"/>
      <c r="AC171" s="186"/>
    </row>
    <row r="172" spans="2:30" ht="15.75" customHeight="1" x14ac:dyDescent="0.25">
      <c r="B172" s="63" t="s">
        <v>102</v>
      </c>
      <c r="D172" s="65"/>
      <c r="E172" s="65"/>
      <c r="F172" s="65"/>
      <c r="G172" s="65"/>
      <c r="I172" s="65"/>
      <c r="J172" s="65"/>
      <c r="K172" s="65"/>
      <c r="L172" s="65"/>
      <c r="N172" s="65"/>
      <c r="O172" s="65"/>
      <c r="P172" s="65"/>
      <c r="Q172" s="65"/>
      <c r="S172" s="186"/>
      <c r="T172" s="186"/>
      <c r="V172" s="186"/>
      <c r="W172" s="186"/>
      <c r="Y172" s="186"/>
      <c r="Z172" s="186"/>
      <c r="AB172" s="186"/>
      <c r="AC172" s="186"/>
    </row>
    <row r="173" spans="2:30" ht="15.75" customHeight="1" x14ac:dyDescent="0.25">
      <c r="B173" s="63" t="s">
        <v>103</v>
      </c>
      <c r="D173" s="65">
        <v>1446.8</v>
      </c>
      <c r="E173" s="65">
        <v>1446.2</v>
      </c>
      <c r="F173" s="65"/>
      <c r="G173" s="65"/>
      <c r="I173" s="65">
        <v>1376.0437089999998</v>
      </c>
      <c r="J173" s="65">
        <v>1464.8420000000001</v>
      </c>
      <c r="K173" s="65">
        <v>1459.801494</v>
      </c>
      <c r="L173" s="65">
        <v>1458</v>
      </c>
      <c r="N173" s="65">
        <v>1362.6717020000001</v>
      </c>
      <c r="O173" s="65">
        <v>1366.194</v>
      </c>
      <c r="P173" s="65">
        <v>1364.071866</v>
      </c>
      <c r="Q173" s="65">
        <v>1375.9480000000001</v>
      </c>
      <c r="S173" s="186">
        <f t="shared" ref="S173:T176" si="157">SUMIFS($C173:$R173,$C$7:$R$7,S$7,$C$6:$R$6,S$6)</f>
        <v>1446.2</v>
      </c>
      <c r="T173" s="186">
        <f t="shared" si="157"/>
        <v>1464.8420000000001</v>
      </c>
      <c r="V173" s="181">
        <f t="shared" ref="V173:V176" si="158">+S173</f>
        <v>1446.2</v>
      </c>
      <c r="W173" s="181">
        <f t="shared" ref="W173:W176" si="159">+T173</f>
        <v>1464.8420000000001</v>
      </c>
      <c r="Y173" s="181">
        <f t="shared" ref="Y173:Z176" si="160">SUMIFS($C173:$R173,$C$7:$R$7,VALUE(RIGHT(Y$7,4)),$C$6:$R$6,Y$6)</f>
        <v>1446.2</v>
      </c>
      <c r="Z173" s="181">
        <f t="shared" si="160"/>
        <v>1464.8420000000001</v>
      </c>
      <c r="AB173" s="181">
        <f t="shared" ref="AB173:AC176" si="161">SUMIFS($C173:$R173,$C$7:$R$7,AB$7,$C$6:$R$6,AB$6)</f>
        <v>1458</v>
      </c>
      <c r="AC173" s="181">
        <f t="shared" si="161"/>
        <v>1375.9480000000001</v>
      </c>
    </row>
    <row r="174" spans="2:30" ht="15.75" customHeight="1" x14ac:dyDescent="0.25">
      <c r="B174" s="63" t="s">
        <v>104</v>
      </c>
      <c r="D174" s="65">
        <v>1402.9</v>
      </c>
      <c r="E174" s="65">
        <v>1402.3</v>
      </c>
      <c r="F174" s="65"/>
      <c r="G174" s="65"/>
      <c r="I174" s="65">
        <v>1505.2458489999999</v>
      </c>
      <c r="J174" s="65">
        <v>1444.616</v>
      </c>
      <c r="K174" s="65">
        <v>1402.7295179999999</v>
      </c>
      <c r="L174" s="65">
        <v>1489.9</v>
      </c>
      <c r="N174" s="65">
        <v>257.75714199999999</v>
      </c>
      <c r="O174" s="65">
        <v>239.441</v>
      </c>
      <c r="P174" s="65">
        <v>184.27434500000001</v>
      </c>
      <c r="Q174" s="65">
        <v>1562.501</v>
      </c>
      <c r="S174" s="186">
        <f t="shared" si="157"/>
        <v>1402.3</v>
      </c>
      <c r="T174" s="186">
        <f t="shared" si="157"/>
        <v>1444.616</v>
      </c>
      <c r="V174" s="181">
        <f t="shared" si="158"/>
        <v>1402.3</v>
      </c>
      <c r="W174" s="181">
        <f t="shared" si="159"/>
        <v>1444.616</v>
      </c>
      <c r="Y174" s="181">
        <f t="shared" si="160"/>
        <v>1402.3</v>
      </c>
      <c r="Z174" s="181">
        <f t="shared" si="160"/>
        <v>1444.616</v>
      </c>
      <c r="AB174" s="181">
        <f t="shared" si="161"/>
        <v>1489.9</v>
      </c>
      <c r="AC174" s="181">
        <f t="shared" si="161"/>
        <v>1562.501</v>
      </c>
    </row>
    <row r="175" spans="2:30" ht="15.75" customHeight="1" x14ac:dyDescent="0.25">
      <c r="B175" s="63" t="s">
        <v>105</v>
      </c>
      <c r="D175" s="65">
        <v>68.099999999999994</v>
      </c>
      <c r="E175" s="65">
        <v>64.599999999999994</v>
      </c>
      <c r="F175" s="65"/>
      <c r="G175" s="65"/>
      <c r="I175" s="65">
        <v>54.184275999999997</v>
      </c>
      <c r="J175" s="65">
        <v>60.051000000000002</v>
      </c>
      <c r="K175" s="65">
        <v>56.688196000000005</v>
      </c>
      <c r="L175" s="65">
        <v>73.5</v>
      </c>
      <c r="N175" s="65">
        <v>59.410201999999998</v>
      </c>
      <c r="O175" s="65">
        <v>58.232999999999997</v>
      </c>
      <c r="P175" s="65">
        <v>55.505336999999997</v>
      </c>
      <c r="Q175" s="65">
        <v>55.256999999999998</v>
      </c>
      <c r="S175" s="186">
        <f t="shared" si="157"/>
        <v>64.599999999999994</v>
      </c>
      <c r="T175" s="186">
        <f t="shared" si="157"/>
        <v>60.051000000000002</v>
      </c>
      <c r="V175" s="181">
        <f t="shared" si="158"/>
        <v>64.599999999999994</v>
      </c>
      <c r="W175" s="181">
        <f t="shared" si="159"/>
        <v>60.051000000000002</v>
      </c>
      <c r="Y175" s="181">
        <f t="shared" si="160"/>
        <v>64.599999999999994</v>
      </c>
      <c r="Z175" s="181">
        <f t="shared" si="160"/>
        <v>60.051000000000002</v>
      </c>
      <c r="AB175" s="181">
        <f t="shared" si="161"/>
        <v>73.5</v>
      </c>
      <c r="AC175" s="181">
        <f t="shared" si="161"/>
        <v>55.256999999999998</v>
      </c>
    </row>
    <row r="176" spans="2:30" ht="15.75" customHeight="1" x14ac:dyDescent="0.25">
      <c r="B176" s="63" t="s">
        <v>106</v>
      </c>
      <c r="D176" s="65">
        <v>339.5</v>
      </c>
      <c r="E176" s="65">
        <v>350.5</v>
      </c>
      <c r="F176" s="65"/>
      <c r="G176" s="65"/>
      <c r="I176" s="65">
        <v>427.83505200000002</v>
      </c>
      <c r="J176" s="65">
        <v>337.673</v>
      </c>
      <c r="K176" s="65">
        <v>362.92271399999998</v>
      </c>
      <c r="L176" s="65">
        <v>295.3</v>
      </c>
      <c r="N176" s="65">
        <v>420.24786700000004</v>
      </c>
      <c r="O176" s="65">
        <v>488.24700000000001</v>
      </c>
      <c r="P176" s="65">
        <v>579.35403599999995</v>
      </c>
      <c r="Q176" s="65">
        <v>347.74099999999999</v>
      </c>
      <c r="S176" s="186">
        <f t="shared" si="157"/>
        <v>350.5</v>
      </c>
      <c r="T176" s="186">
        <f t="shared" si="157"/>
        <v>337.673</v>
      </c>
      <c r="V176" s="181">
        <f t="shared" si="158"/>
        <v>350.5</v>
      </c>
      <c r="W176" s="181">
        <f t="shared" si="159"/>
        <v>337.673</v>
      </c>
      <c r="Y176" s="181">
        <f t="shared" si="160"/>
        <v>350.5</v>
      </c>
      <c r="Z176" s="181">
        <f t="shared" si="160"/>
        <v>337.673</v>
      </c>
      <c r="AB176" s="181">
        <f t="shared" si="161"/>
        <v>295.3</v>
      </c>
      <c r="AC176" s="181">
        <f t="shared" si="161"/>
        <v>347.74099999999999</v>
      </c>
    </row>
    <row r="177" spans="2:30" ht="15.75" customHeight="1" x14ac:dyDescent="0.25">
      <c r="B177" s="141" t="s">
        <v>107</v>
      </c>
      <c r="C177" s="8"/>
      <c r="D177" s="142">
        <f>SUM(D173:D176)</f>
        <v>3257.2999999999997</v>
      </c>
      <c r="E177" s="142">
        <f>SUM(E173:E176)</f>
        <v>3263.6</v>
      </c>
      <c r="F177" s="142">
        <f>SUM(F173:F176)</f>
        <v>0</v>
      </c>
      <c r="G177" s="142">
        <f>SUM(G173:G176)</f>
        <v>0</v>
      </c>
      <c r="H177" s="8"/>
      <c r="I177" s="142">
        <f>SUM(I173:I176)</f>
        <v>3363.3088859999993</v>
      </c>
      <c r="J177" s="142">
        <f>SUM(J173:J176)</f>
        <v>3307.1819999999998</v>
      </c>
      <c r="K177" s="142">
        <f>SUM(K173:K176)</f>
        <v>3282.1419219999998</v>
      </c>
      <c r="L177" s="142">
        <f>SUM(L173:L176)</f>
        <v>3316.7000000000003</v>
      </c>
      <c r="M177" s="8"/>
      <c r="N177" s="142">
        <v>2100.0869130000001</v>
      </c>
      <c r="O177" s="142">
        <f>SUM(O173:O176)</f>
        <v>2152.1149999999998</v>
      </c>
      <c r="P177" s="142">
        <f>SUM(P173:P176)</f>
        <v>2183.2055840000003</v>
      </c>
      <c r="Q177" s="142">
        <f>SUM(Q173:Q176)</f>
        <v>3341.4470000000001</v>
      </c>
      <c r="R177" s="8"/>
      <c r="S177" s="193">
        <f t="shared" ref="S177:AC177" si="162">SUM(S173:S176)</f>
        <v>3263.6</v>
      </c>
      <c r="T177" s="193">
        <f t="shared" si="162"/>
        <v>3307.1819999999998</v>
      </c>
      <c r="U177" s="200"/>
      <c r="V177" s="193">
        <f t="shared" si="162"/>
        <v>3263.6</v>
      </c>
      <c r="W177" s="193">
        <f t="shared" si="162"/>
        <v>3307.1819999999998</v>
      </c>
      <c r="X177" s="200"/>
      <c r="Y177" s="193">
        <f t="shared" si="162"/>
        <v>3263.6</v>
      </c>
      <c r="Z177" s="193">
        <f t="shared" ref="Z177" si="163">SUM(Z173:Z176)</f>
        <v>3307.1819999999998</v>
      </c>
      <c r="AA177" s="200"/>
      <c r="AB177" s="193">
        <f t="shared" si="162"/>
        <v>3316.7000000000003</v>
      </c>
      <c r="AC177" s="193">
        <f t="shared" si="162"/>
        <v>3341.4470000000001</v>
      </c>
      <c r="AD177" s="8"/>
    </row>
    <row r="178" spans="2:30" ht="15.75" customHeight="1" x14ac:dyDescent="0.25">
      <c r="D178" s="65"/>
      <c r="E178" s="65"/>
      <c r="F178" s="65"/>
      <c r="G178" s="65"/>
      <c r="I178" s="65"/>
      <c r="J178" s="65"/>
      <c r="K178" s="65"/>
      <c r="L178" s="65"/>
      <c r="N178" s="65"/>
      <c r="O178" s="65"/>
      <c r="P178" s="65"/>
      <c r="Q178" s="65"/>
      <c r="S178" s="186"/>
      <c r="T178" s="186"/>
      <c r="V178" s="186"/>
      <c r="W178" s="186"/>
      <c r="Y178" s="186"/>
      <c r="Z178" s="186"/>
      <c r="AB178" s="186"/>
      <c r="AC178" s="186"/>
    </row>
    <row r="179" spans="2:30" ht="15.75" customHeight="1" x14ac:dyDescent="0.25">
      <c r="B179" s="63" t="s">
        <v>108</v>
      </c>
      <c r="D179" s="65">
        <v>551.1</v>
      </c>
      <c r="E179" s="65">
        <v>512.4</v>
      </c>
      <c r="F179" s="65"/>
      <c r="G179" s="65"/>
      <c r="I179" s="65">
        <v>568.80999999999995</v>
      </c>
      <c r="J179" s="65">
        <v>513.09400000000005</v>
      </c>
      <c r="K179" s="65">
        <v>452.72399999999999</v>
      </c>
      <c r="L179" s="65">
        <v>511.4</v>
      </c>
      <c r="N179" s="65">
        <v>678.42700000000002</v>
      </c>
      <c r="O179" s="65">
        <v>626.82600000000002</v>
      </c>
      <c r="P179" s="65">
        <v>570.08600000000001</v>
      </c>
      <c r="Q179" s="65">
        <v>529.75099999999998</v>
      </c>
      <c r="S179" s="186">
        <f t="shared" ref="S179:T179" si="164">SUMIFS($C179:$R179,$C$7:$R$7,S$7,$C$6:$R$6,S$6)</f>
        <v>512.4</v>
      </c>
      <c r="T179" s="186">
        <f t="shared" si="164"/>
        <v>513.09400000000005</v>
      </c>
      <c r="V179" s="181">
        <f t="shared" ref="V179" si="165">+S179</f>
        <v>512.4</v>
      </c>
      <c r="W179" s="181">
        <f t="shared" ref="W179" si="166">+T179</f>
        <v>513.09400000000005</v>
      </c>
      <c r="Y179" s="181">
        <f>SUMIFS($C179:$R179,$C$7:$R$7,VALUE(RIGHT(Y$7,4)),$C$6:$R$6,Y$6)</f>
        <v>512.4</v>
      </c>
      <c r="Z179" s="181">
        <f>SUMIFS($C179:$R179,$C$7:$R$7,VALUE(RIGHT(Z$7,4)),$C$6:$R$6,Z$6)</f>
        <v>513.09400000000005</v>
      </c>
      <c r="AB179" s="181">
        <f t="shared" ref="AB179:AC179" si="167">SUMIFS($C179:$R179,$C$7:$R$7,AB$7,$C$6:$R$6,AB$6)</f>
        <v>511.4</v>
      </c>
      <c r="AC179" s="181">
        <f t="shared" si="167"/>
        <v>529.75099999999998</v>
      </c>
    </row>
    <row r="180" spans="2:30" ht="15.75" customHeight="1" x14ac:dyDescent="0.25">
      <c r="D180" s="65"/>
      <c r="E180" s="65"/>
      <c r="F180" s="65"/>
      <c r="G180" s="65"/>
      <c r="I180" s="65"/>
      <c r="J180" s="65"/>
      <c r="K180" s="65"/>
      <c r="L180" s="65"/>
      <c r="N180" s="65"/>
      <c r="O180" s="65"/>
      <c r="P180" s="65"/>
      <c r="Q180" s="65"/>
      <c r="S180" s="186"/>
      <c r="T180" s="186"/>
      <c r="V180" s="186"/>
      <c r="W180" s="186"/>
      <c r="Y180" s="186"/>
      <c r="Z180" s="186"/>
      <c r="AB180" s="186"/>
      <c r="AC180" s="186"/>
    </row>
    <row r="181" spans="2:30" ht="15.75" customHeight="1" x14ac:dyDescent="0.25">
      <c r="B181" s="63" t="s">
        <v>110</v>
      </c>
      <c r="D181" s="65"/>
      <c r="E181" s="65"/>
      <c r="F181" s="65"/>
      <c r="G181" s="65"/>
      <c r="I181" s="65"/>
      <c r="J181" s="65"/>
      <c r="K181" s="65"/>
      <c r="L181" s="65"/>
      <c r="N181" s="65"/>
      <c r="O181" s="65"/>
      <c r="P181" s="65"/>
      <c r="Q181" s="65"/>
      <c r="S181" s="186"/>
      <c r="T181" s="186"/>
      <c r="V181" s="186"/>
      <c r="W181" s="186"/>
      <c r="Y181" s="186"/>
      <c r="Z181" s="186"/>
      <c r="AB181" s="186"/>
      <c r="AC181" s="186"/>
    </row>
    <row r="182" spans="2:30" ht="15.75" customHeight="1" x14ac:dyDescent="0.25">
      <c r="B182" s="63" t="s">
        <v>111</v>
      </c>
      <c r="D182" s="65">
        <v>218.1</v>
      </c>
      <c r="E182" s="65">
        <v>225.3</v>
      </c>
      <c r="F182" s="65"/>
      <c r="G182" s="65"/>
      <c r="I182" s="65">
        <v>218.38700800000001</v>
      </c>
      <c r="J182" s="65">
        <v>217.596</v>
      </c>
      <c r="K182" s="65">
        <v>226.03876199999999</v>
      </c>
      <c r="L182" s="65">
        <v>224.8</v>
      </c>
      <c r="N182" s="65">
        <v>220.35591499999998</v>
      </c>
      <c r="O182" s="65">
        <v>243.529</v>
      </c>
      <c r="P182" s="65">
        <v>208.172866</v>
      </c>
      <c r="Q182" s="65">
        <v>199.99799999999999</v>
      </c>
      <c r="S182" s="186">
        <f t="shared" ref="S182:T184" si="168">SUMIFS($C182:$R182,$C$7:$R$7,S$7,$C$6:$R$6,S$6)</f>
        <v>225.3</v>
      </c>
      <c r="T182" s="186">
        <f t="shared" si="168"/>
        <v>217.596</v>
      </c>
      <c r="V182" s="181">
        <f t="shared" ref="V182:V184" si="169">+S182</f>
        <v>225.3</v>
      </c>
      <c r="W182" s="181">
        <f t="shared" ref="W182:W184" si="170">+T182</f>
        <v>217.596</v>
      </c>
      <c r="Y182" s="181">
        <f t="shared" ref="Y182:Z184" si="171">SUMIFS($C182:$R182,$C$7:$R$7,VALUE(RIGHT(Y$7,4)),$C$6:$R$6,Y$6)</f>
        <v>225.3</v>
      </c>
      <c r="Z182" s="181">
        <f t="shared" si="171"/>
        <v>217.596</v>
      </c>
      <c r="AB182" s="181">
        <f t="shared" ref="AB182:AC184" si="172">SUMIFS($C182:$R182,$C$7:$R$7,AB$7,$C$6:$R$6,AB$6)</f>
        <v>224.8</v>
      </c>
      <c r="AC182" s="181">
        <f t="shared" si="172"/>
        <v>199.99799999999999</v>
      </c>
    </row>
    <row r="183" spans="2:30" ht="15.75" customHeight="1" x14ac:dyDescent="0.25">
      <c r="B183" s="63" t="s">
        <v>112</v>
      </c>
      <c r="D183" s="65">
        <v>15.5</v>
      </c>
      <c r="E183" s="65">
        <v>16.7</v>
      </c>
      <c r="F183" s="65"/>
      <c r="G183" s="65"/>
      <c r="I183" s="65">
        <v>13.982431</v>
      </c>
      <c r="J183" s="65">
        <v>13.965</v>
      </c>
      <c r="K183" s="65">
        <v>16.616841000000001</v>
      </c>
      <c r="L183" s="65">
        <v>16.2</v>
      </c>
      <c r="N183" s="65">
        <v>13.947403</v>
      </c>
      <c r="O183" s="65">
        <v>14</v>
      </c>
      <c r="P183" s="65">
        <v>14.063113</v>
      </c>
      <c r="Q183" s="65">
        <v>13.942</v>
      </c>
      <c r="S183" s="186">
        <f t="shared" si="168"/>
        <v>16.7</v>
      </c>
      <c r="T183" s="186">
        <f t="shared" si="168"/>
        <v>13.965</v>
      </c>
      <c r="V183" s="181">
        <f t="shared" si="169"/>
        <v>16.7</v>
      </c>
      <c r="W183" s="181">
        <f t="shared" si="170"/>
        <v>13.965</v>
      </c>
      <c r="Y183" s="181">
        <f t="shared" si="171"/>
        <v>16.7</v>
      </c>
      <c r="Z183" s="181">
        <f t="shared" si="171"/>
        <v>13.965</v>
      </c>
      <c r="AB183" s="181">
        <f t="shared" si="172"/>
        <v>16.2</v>
      </c>
      <c r="AC183" s="181">
        <f t="shared" si="172"/>
        <v>13.942</v>
      </c>
    </row>
    <row r="184" spans="2:30" ht="15.75" customHeight="1" x14ac:dyDescent="0.25">
      <c r="B184" s="63" t="s">
        <v>113</v>
      </c>
      <c r="D184" s="65">
        <v>737.7</v>
      </c>
      <c r="E184" s="65">
        <v>656.9</v>
      </c>
      <c r="F184" s="65"/>
      <c r="G184" s="65"/>
      <c r="I184" s="65">
        <v>713.24727599999994</v>
      </c>
      <c r="J184" s="65">
        <v>710.77499999999998</v>
      </c>
      <c r="K184" s="65">
        <v>710.70023700000002</v>
      </c>
      <c r="L184" s="65">
        <v>738.8</v>
      </c>
      <c r="N184" s="65">
        <v>8.5541990000000006</v>
      </c>
      <c r="O184" s="65">
        <v>8.7949999999999999</v>
      </c>
      <c r="P184" s="65">
        <v>8.490672</v>
      </c>
      <c r="Q184" s="65">
        <v>712.87400000000002</v>
      </c>
      <c r="S184" s="186">
        <f t="shared" si="168"/>
        <v>656.9</v>
      </c>
      <c r="T184" s="186">
        <f t="shared" si="168"/>
        <v>710.77499999999998</v>
      </c>
      <c r="V184" s="181">
        <f t="shared" si="169"/>
        <v>656.9</v>
      </c>
      <c r="W184" s="181">
        <f t="shared" si="170"/>
        <v>710.77499999999998</v>
      </c>
      <c r="Y184" s="181">
        <f t="shared" si="171"/>
        <v>656.9</v>
      </c>
      <c r="Z184" s="181">
        <f t="shared" si="171"/>
        <v>710.77499999999998</v>
      </c>
      <c r="AB184" s="181">
        <f t="shared" si="172"/>
        <v>738.8</v>
      </c>
      <c r="AC184" s="181">
        <f t="shared" si="172"/>
        <v>712.87400000000002</v>
      </c>
    </row>
    <row r="185" spans="2:30" ht="15.75" customHeight="1" x14ac:dyDescent="0.25">
      <c r="B185" s="141" t="s">
        <v>114</v>
      </c>
      <c r="D185" s="142">
        <f>SUM(D182:D184)</f>
        <v>971.30000000000007</v>
      </c>
      <c r="E185" s="142">
        <f>SUM(E182:E184)</f>
        <v>898.9</v>
      </c>
      <c r="F185" s="142">
        <f>SUM(F182:F184)</f>
        <v>0</v>
      </c>
      <c r="G185" s="142">
        <f>SUM(G182:G184)</f>
        <v>0</v>
      </c>
      <c r="I185" s="142">
        <f>SUM(I182:I184)</f>
        <v>945.61671499999989</v>
      </c>
      <c r="J185" s="142">
        <f>SUM(J182:J184)</f>
        <v>942.33600000000001</v>
      </c>
      <c r="K185" s="142">
        <f>SUM(K182:K184)</f>
        <v>953.35583999999994</v>
      </c>
      <c r="L185" s="142">
        <f>SUM(L182:L184)</f>
        <v>979.8</v>
      </c>
      <c r="N185" s="142">
        <v>242.857517</v>
      </c>
      <c r="O185" s="142">
        <f>SUM(O182:O184)</f>
        <v>266.32400000000001</v>
      </c>
      <c r="P185" s="142">
        <f>SUM(P182:P184)</f>
        <v>230.72665099999998</v>
      </c>
      <c r="Q185" s="142">
        <f>SUM(Q182:Q184)</f>
        <v>926.81400000000008</v>
      </c>
      <c r="S185" s="193">
        <f t="shared" ref="S185" si="173">SUM(S181:S184)</f>
        <v>898.9</v>
      </c>
      <c r="T185" s="193">
        <f t="shared" ref="T185:AC185" si="174">SUM(T181:T184)</f>
        <v>942.33600000000001</v>
      </c>
      <c r="V185" s="193">
        <f t="shared" si="174"/>
        <v>898.9</v>
      </c>
      <c r="W185" s="193">
        <f t="shared" si="174"/>
        <v>942.33600000000001</v>
      </c>
      <c r="X185" s="200"/>
      <c r="Y185" s="193">
        <f t="shared" si="174"/>
        <v>898.9</v>
      </c>
      <c r="Z185" s="193">
        <f t="shared" ref="Z185" si="175">SUM(Z181:Z184)</f>
        <v>942.33600000000001</v>
      </c>
      <c r="AA185" s="200"/>
      <c r="AB185" s="193">
        <f t="shared" si="174"/>
        <v>979.8</v>
      </c>
      <c r="AC185" s="193">
        <f t="shared" si="174"/>
        <v>926.81400000000008</v>
      </c>
    </row>
    <row r="186" spans="2:30" ht="15.75" customHeight="1" x14ac:dyDescent="0.25">
      <c r="D186" s="65"/>
      <c r="E186" s="65"/>
      <c r="F186" s="65"/>
      <c r="G186" s="65"/>
      <c r="I186" s="65"/>
      <c r="J186" s="65"/>
      <c r="K186" s="65"/>
      <c r="L186" s="65"/>
      <c r="N186" s="65"/>
      <c r="O186" s="65"/>
      <c r="P186" s="65"/>
      <c r="Q186" s="65"/>
      <c r="S186" s="186"/>
      <c r="T186" s="186"/>
      <c r="V186" s="186"/>
      <c r="W186" s="186"/>
      <c r="Y186" s="186"/>
      <c r="Z186" s="186"/>
      <c r="AB186" s="186"/>
      <c r="AC186" s="186"/>
    </row>
    <row r="187" spans="2:30" ht="15.75" customHeight="1" x14ac:dyDescent="0.25">
      <c r="B187" s="141" t="s">
        <v>233</v>
      </c>
      <c r="D187" s="142">
        <f>+D185+D177+D170+D179</f>
        <v>4810.3</v>
      </c>
      <c r="E187" s="142">
        <f>+E185+E177+E170+E179</f>
        <v>4701.2999999999993</v>
      </c>
      <c r="F187" s="142">
        <f>+F185+F177+F170+F179</f>
        <v>0</v>
      </c>
      <c r="G187" s="142">
        <f>+G185+G177+G170+G179</f>
        <v>0</v>
      </c>
      <c r="I187" s="142">
        <f>+I185+I177+I170+I179</f>
        <v>4924.1393039999984</v>
      </c>
      <c r="J187" s="142">
        <f>+J185+J177+J170+J179</f>
        <v>4807.7579999999998</v>
      </c>
      <c r="K187" s="142">
        <f>+K185+K177+K170+K179</f>
        <v>4728.6962469999999</v>
      </c>
      <c r="L187" s="142">
        <f>+L185+L177+L170+L179</f>
        <v>4843.3999999999996</v>
      </c>
      <c r="N187" s="142">
        <v>3082.4264160000002</v>
      </c>
      <c r="O187" s="142">
        <f>+O185+O177+O170+O179</f>
        <v>3104.6439999999998</v>
      </c>
      <c r="P187" s="142">
        <f>+P185+P177+P170+P179</f>
        <v>3040.9252270000006</v>
      </c>
      <c r="Q187" s="142">
        <f>+Q185+Q177+Q170+Q179</f>
        <v>4848.8730000000005</v>
      </c>
      <c r="S187" s="193">
        <f t="shared" ref="S187:AC187" si="176">+S185+S177+S170+S179</f>
        <v>4701.2999999999993</v>
      </c>
      <c r="T187" s="193">
        <f t="shared" si="176"/>
        <v>4807.7579999999998</v>
      </c>
      <c r="V187" s="193">
        <f t="shared" si="176"/>
        <v>4701.2999999999993</v>
      </c>
      <c r="W187" s="193">
        <f t="shared" si="176"/>
        <v>4807.7579999999998</v>
      </c>
      <c r="Y187" s="193">
        <f t="shared" si="176"/>
        <v>4701.2999999999993</v>
      </c>
      <c r="Z187" s="193">
        <f t="shared" ref="Z187" si="177">+Z185+Z177+Z170+Z179</f>
        <v>4807.7579999999998</v>
      </c>
      <c r="AB187" s="193">
        <f t="shared" si="176"/>
        <v>4843.3999999999996</v>
      </c>
      <c r="AC187" s="193">
        <f t="shared" si="176"/>
        <v>4848.8730000000005</v>
      </c>
    </row>
    <row r="188" spans="2:30" ht="15.75" customHeight="1" x14ac:dyDescent="0.25">
      <c r="D188" s="65"/>
      <c r="E188" s="65"/>
      <c r="F188" s="65"/>
      <c r="G188" s="65"/>
      <c r="I188" s="65"/>
      <c r="J188" s="65"/>
      <c r="K188" s="65"/>
      <c r="L188" s="65"/>
      <c r="N188" s="65"/>
      <c r="O188" s="65"/>
      <c r="P188" s="65"/>
      <c r="Q188" s="65"/>
      <c r="S188" s="186"/>
      <c r="T188" s="186"/>
      <c r="V188" s="186"/>
      <c r="W188" s="186"/>
      <c r="Y188" s="186"/>
      <c r="Z188" s="186"/>
      <c r="AB188" s="186"/>
      <c r="AC188" s="186"/>
    </row>
    <row r="189" spans="2:30" ht="15.75" customHeight="1" x14ac:dyDescent="0.25">
      <c r="B189" s="63" t="s">
        <v>116</v>
      </c>
      <c r="D189" s="65"/>
      <c r="E189" s="65"/>
      <c r="F189" s="65"/>
      <c r="G189" s="65"/>
      <c r="I189" s="65"/>
      <c r="J189" s="65"/>
      <c r="K189" s="65"/>
      <c r="L189" s="65"/>
      <c r="N189" s="65"/>
      <c r="O189" s="65"/>
      <c r="P189" s="65"/>
      <c r="Q189" s="65"/>
      <c r="S189" s="186"/>
      <c r="T189" s="186"/>
      <c r="V189" s="186"/>
      <c r="W189" s="186"/>
      <c r="Y189" s="186"/>
      <c r="Z189" s="186"/>
      <c r="AB189" s="186"/>
      <c r="AC189" s="186"/>
    </row>
    <row r="190" spans="2:30" ht="15.75" customHeight="1" x14ac:dyDescent="0.25">
      <c r="B190" s="63" t="s">
        <v>33</v>
      </c>
      <c r="D190" s="65">
        <v>2415.6999999999998</v>
      </c>
      <c r="E190" s="65">
        <v>1893.5</v>
      </c>
      <c r="F190" s="65"/>
      <c r="G190" s="65"/>
      <c r="I190" s="65">
        <v>1922.3369329999998</v>
      </c>
      <c r="J190" s="65">
        <v>2568.136</v>
      </c>
      <c r="K190" s="65">
        <v>2402.3179119999995</v>
      </c>
      <c r="L190" s="65">
        <v>1772.5</v>
      </c>
      <c r="N190" s="65">
        <v>2527.042594</v>
      </c>
      <c r="O190" s="65">
        <v>2596.7530000000002</v>
      </c>
      <c r="P190" s="65">
        <v>3108.4703159999999</v>
      </c>
      <c r="Q190" s="65">
        <v>1662.076</v>
      </c>
      <c r="S190" s="186">
        <f t="shared" ref="S190:T197" si="178">SUMIFS($C190:$R190,$C$7:$R$7,S$7,$C$6:$R$6,S$6)</f>
        <v>1893.5</v>
      </c>
      <c r="T190" s="186">
        <f t="shared" si="178"/>
        <v>2568.136</v>
      </c>
      <c r="V190" s="181">
        <f t="shared" ref="V190:V197" si="179">+S190</f>
        <v>1893.5</v>
      </c>
      <c r="W190" s="181">
        <f t="shared" ref="W190:W197" si="180">+T190</f>
        <v>2568.136</v>
      </c>
      <c r="Y190" s="181">
        <f t="shared" ref="Y190:Z197" si="181">SUMIFS($C190:$R190,$C$7:$R$7,VALUE(RIGHT(Y$7,4)),$C$6:$R$6,Y$6)</f>
        <v>1893.5</v>
      </c>
      <c r="Z190" s="181">
        <f t="shared" si="181"/>
        <v>2568.136</v>
      </c>
      <c r="AB190" s="181">
        <f t="shared" ref="AB190:AC197" si="182">SUMIFS($C190:$R190,$C$7:$R$7,AB$7,$C$6:$R$6,AB$6)</f>
        <v>1772.5</v>
      </c>
      <c r="AC190" s="181">
        <f t="shared" si="182"/>
        <v>1662.076</v>
      </c>
    </row>
    <row r="191" spans="2:30" ht="15.75" customHeight="1" x14ac:dyDescent="0.25">
      <c r="B191" s="63" t="s">
        <v>117</v>
      </c>
      <c r="D191" s="65">
        <v>1298.2</v>
      </c>
      <c r="E191" s="65">
        <v>1903.5</v>
      </c>
      <c r="F191" s="65"/>
      <c r="G191" s="65"/>
      <c r="I191" s="65">
        <v>1451.7670999999998</v>
      </c>
      <c r="J191" s="65">
        <v>1955.44</v>
      </c>
      <c r="K191" s="65">
        <v>1607.3717279999998</v>
      </c>
      <c r="L191" s="65">
        <v>1287</v>
      </c>
      <c r="N191" s="65">
        <v>1336.0985109999999</v>
      </c>
      <c r="O191" s="65">
        <v>1748.461</v>
      </c>
      <c r="P191" s="65">
        <v>1789.8211899999999</v>
      </c>
      <c r="Q191" s="65">
        <v>1083.4559999999999</v>
      </c>
      <c r="S191" s="186">
        <f t="shared" si="178"/>
        <v>1903.5</v>
      </c>
      <c r="T191" s="186">
        <f t="shared" si="178"/>
        <v>1955.44</v>
      </c>
      <c r="V191" s="181">
        <f t="shared" si="179"/>
        <v>1903.5</v>
      </c>
      <c r="W191" s="181">
        <f t="shared" si="180"/>
        <v>1955.44</v>
      </c>
      <c r="Y191" s="181">
        <f t="shared" si="181"/>
        <v>1903.5</v>
      </c>
      <c r="Z191" s="181">
        <f t="shared" si="181"/>
        <v>1955.44</v>
      </c>
      <c r="AB191" s="181">
        <f t="shared" si="182"/>
        <v>1287</v>
      </c>
      <c r="AC191" s="181">
        <f t="shared" si="182"/>
        <v>1083.4559999999999</v>
      </c>
    </row>
    <row r="192" spans="2:30" ht="15.75" customHeight="1" x14ac:dyDescent="0.25">
      <c r="B192" s="63" t="s">
        <v>119</v>
      </c>
      <c r="D192" s="125">
        <v>0.2</v>
      </c>
      <c r="E192" s="125">
        <v>0.3</v>
      </c>
      <c r="F192" s="125"/>
      <c r="G192" s="125"/>
      <c r="I192" s="125">
        <v>0.157773</v>
      </c>
      <c r="J192" s="125">
        <v>0</v>
      </c>
      <c r="K192" s="125">
        <v>0.158335</v>
      </c>
      <c r="L192" s="125">
        <v>0.2</v>
      </c>
      <c r="N192" s="125">
        <v>0.15019300000000002</v>
      </c>
      <c r="O192" s="125">
        <v>0.17399999999999999</v>
      </c>
      <c r="P192" s="125">
        <v>0.15614500000000001</v>
      </c>
      <c r="Q192" s="125">
        <v>0.157</v>
      </c>
      <c r="S192" s="181">
        <f t="shared" si="178"/>
        <v>0.3</v>
      </c>
      <c r="T192" s="181">
        <f t="shared" si="178"/>
        <v>0</v>
      </c>
      <c r="V192" s="181">
        <f t="shared" si="179"/>
        <v>0.3</v>
      </c>
      <c r="W192" s="181">
        <f t="shared" si="180"/>
        <v>0</v>
      </c>
      <c r="Y192" s="181">
        <f t="shared" si="181"/>
        <v>0.3</v>
      </c>
      <c r="Z192" s="181">
        <f t="shared" si="181"/>
        <v>0</v>
      </c>
      <c r="AB192" s="181">
        <f t="shared" si="182"/>
        <v>0.2</v>
      </c>
      <c r="AC192" s="181">
        <f t="shared" si="182"/>
        <v>0.157</v>
      </c>
    </row>
    <row r="193" spans="2:30" ht="15.75" customHeight="1" x14ac:dyDescent="0.25">
      <c r="B193" s="63" t="s">
        <v>120</v>
      </c>
      <c r="D193" s="125">
        <v>14.7</v>
      </c>
      <c r="E193" s="125" t="s">
        <v>8</v>
      </c>
      <c r="F193" s="125"/>
      <c r="G193" s="125"/>
      <c r="I193" s="125">
        <v>23.043088999999998</v>
      </c>
      <c r="J193" s="125">
        <v>18.064</v>
      </c>
      <c r="K193" s="125">
        <v>0.395513</v>
      </c>
      <c r="L193" s="125">
        <v>17.3</v>
      </c>
      <c r="N193" s="125">
        <v>5.3699669999999999</v>
      </c>
      <c r="O193" s="125">
        <v>13.486000000000001</v>
      </c>
      <c r="P193" s="125">
        <v>14.507162000000001</v>
      </c>
      <c r="Q193" s="125">
        <v>0.78700000000000003</v>
      </c>
      <c r="S193" s="181">
        <f t="shared" si="178"/>
        <v>0</v>
      </c>
      <c r="T193" s="181">
        <f t="shared" si="178"/>
        <v>18.064</v>
      </c>
      <c r="V193" s="181">
        <f t="shared" si="179"/>
        <v>0</v>
      </c>
      <c r="W193" s="181">
        <f t="shared" si="180"/>
        <v>18.064</v>
      </c>
      <c r="Y193" s="181">
        <f t="shared" si="181"/>
        <v>0</v>
      </c>
      <c r="Z193" s="181">
        <f t="shared" si="181"/>
        <v>18.064</v>
      </c>
      <c r="AB193" s="181">
        <f t="shared" si="182"/>
        <v>17.3</v>
      </c>
      <c r="AC193" s="181">
        <f t="shared" si="182"/>
        <v>0.78700000000000003</v>
      </c>
    </row>
    <row r="194" spans="2:30" ht="15.75" customHeight="1" x14ac:dyDescent="0.25">
      <c r="B194" s="63" t="s">
        <v>122</v>
      </c>
      <c r="D194" s="65">
        <v>13.8</v>
      </c>
      <c r="E194" s="65">
        <v>14.6</v>
      </c>
      <c r="F194" s="65"/>
      <c r="G194" s="65"/>
      <c r="I194" s="65">
        <v>13.043126000000001</v>
      </c>
      <c r="J194" s="65">
        <v>5.9749999999999996</v>
      </c>
      <c r="K194" s="65">
        <v>5.3423590000000001</v>
      </c>
      <c r="L194" s="65">
        <v>14.8</v>
      </c>
      <c r="N194" s="65">
        <v>29.212378000000001</v>
      </c>
      <c r="O194" s="65">
        <v>25.521999999999998</v>
      </c>
      <c r="P194" s="65">
        <v>19.974246999999998</v>
      </c>
      <c r="Q194" s="65">
        <v>12.228</v>
      </c>
      <c r="S194" s="186">
        <f t="shared" si="178"/>
        <v>14.6</v>
      </c>
      <c r="T194" s="186">
        <f t="shared" si="178"/>
        <v>5.9749999999999996</v>
      </c>
      <c r="V194" s="181">
        <f t="shared" si="179"/>
        <v>14.6</v>
      </c>
      <c r="W194" s="181">
        <f t="shared" si="180"/>
        <v>5.9749999999999996</v>
      </c>
      <c r="Y194" s="181">
        <f t="shared" si="181"/>
        <v>14.6</v>
      </c>
      <c r="Z194" s="181">
        <f t="shared" si="181"/>
        <v>5.9749999999999996</v>
      </c>
      <c r="AB194" s="181">
        <f t="shared" si="182"/>
        <v>14.8</v>
      </c>
      <c r="AC194" s="181">
        <f t="shared" si="182"/>
        <v>12.228</v>
      </c>
    </row>
    <row r="195" spans="2:30" ht="15.75" customHeight="1" x14ac:dyDescent="0.25">
      <c r="B195" s="63" t="s">
        <v>123</v>
      </c>
      <c r="D195" s="65">
        <v>608.70000000000005</v>
      </c>
      <c r="E195" s="65">
        <v>367</v>
      </c>
      <c r="F195" s="65"/>
      <c r="G195" s="65"/>
      <c r="I195" s="65">
        <v>1026.07566</v>
      </c>
      <c r="J195" s="65">
        <v>1069.751</v>
      </c>
      <c r="K195" s="65">
        <v>676.32398799999987</v>
      </c>
      <c r="L195" s="65">
        <v>720.4</v>
      </c>
      <c r="N195" s="65">
        <v>1201.6065390000001</v>
      </c>
      <c r="O195" s="65">
        <v>1178.617</v>
      </c>
      <c r="P195" s="65">
        <v>1179.901067</v>
      </c>
      <c r="Q195" s="65">
        <v>1198.5150000000001</v>
      </c>
      <c r="S195" s="186">
        <f t="shared" si="178"/>
        <v>367</v>
      </c>
      <c r="T195" s="186">
        <f t="shared" si="178"/>
        <v>1069.751</v>
      </c>
      <c r="V195" s="181">
        <f t="shared" si="179"/>
        <v>367</v>
      </c>
      <c r="W195" s="181">
        <f t="shared" si="180"/>
        <v>1069.751</v>
      </c>
      <c r="Y195" s="181">
        <f t="shared" si="181"/>
        <v>367</v>
      </c>
      <c r="Z195" s="181">
        <f t="shared" si="181"/>
        <v>1069.751</v>
      </c>
      <c r="AB195" s="181">
        <f t="shared" si="182"/>
        <v>720.4</v>
      </c>
      <c r="AC195" s="181">
        <f t="shared" si="182"/>
        <v>1198.5150000000001</v>
      </c>
    </row>
    <row r="196" spans="2:30" ht="15.75" customHeight="1" x14ac:dyDescent="0.25">
      <c r="B196" s="63" t="s">
        <v>124</v>
      </c>
      <c r="D196" s="147">
        <v>170.4</v>
      </c>
      <c r="E196" s="147">
        <v>236.29999999999998</v>
      </c>
      <c r="F196" s="147"/>
      <c r="G196" s="147"/>
      <c r="I196" s="147">
        <v>555.115858</v>
      </c>
      <c r="J196" s="147">
        <v>194.29900000000001</v>
      </c>
      <c r="K196" s="147">
        <v>289.10072300000002</v>
      </c>
      <c r="L196" s="147">
        <v>113.8</v>
      </c>
      <c r="N196" s="147">
        <v>226.96243200000001</v>
      </c>
      <c r="O196" s="147">
        <v>282.09899999999999</v>
      </c>
      <c r="P196" s="147">
        <v>383.24024300000002</v>
      </c>
      <c r="Q196" s="147">
        <v>144.28</v>
      </c>
      <c r="S196" s="194">
        <f t="shared" si="178"/>
        <v>236.29999999999998</v>
      </c>
      <c r="T196" s="194">
        <f t="shared" si="178"/>
        <v>194.29900000000001</v>
      </c>
      <c r="V196" s="181">
        <f t="shared" si="179"/>
        <v>236.29999999999998</v>
      </c>
      <c r="W196" s="181">
        <f t="shared" si="180"/>
        <v>194.29900000000001</v>
      </c>
      <c r="Y196" s="181">
        <f t="shared" si="181"/>
        <v>236.29999999999998</v>
      </c>
      <c r="Z196" s="181">
        <f t="shared" si="181"/>
        <v>194.29900000000001</v>
      </c>
      <c r="AB196" s="181">
        <f t="shared" si="182"/>
        <v>113.8</v>
      </c>
      <c r="AC196" s="181">
        <f t="shared" si="182"/>
        <v>144.28</v>
      </c>
    </row>
    <row r="197" spans="2:30" ht="15.75" customHeight="1" x14ac:dyDescent="0.25">
      <c r="B197" s="63" t="s">
        <v>126</v>
      </c>
      <c r="D197" s="65">
        <v>558.79999999999995</v>
      </c>
      <c r="E197" s="65">
        <v>1229.0999999999999</v>
      </c>
      <c r="F197" s="65"/>
      <c r="G197" s="65"/>
      <c r="I197" s="65">
        <v>734.22508300000004</v>
      </c>
      <c r="J197" s="65">
        <v>645.88800000000003</v>
      </c>
      <c r="K197" s="65">
        <v>856.23566099999994</v>
      </c>
      <c r="L197" s="65">
        <v>1255</v>
      </c>
      <c r="N197" s="65">
        <v>1223.877225</v>
      </c>
      <c r="O197" s="65">
        <v>1015.371</v>
      </c>
      <c r="P197" s="65">
        <v>1021.7030600000001</v>
      </c>
      <c r="Q197" s="65">
        <v>1229.6199999999999</v>
      </c>
      <c r="S197" s="186">
        <f t="shared" si="178"/>
        <v>1229.0999999999999</v>
      </c>
      <c r="T197" s="186">
        <f t="shared" si="178"/>
        <v>645.88800000000003</v>
      </c>
      <c r="V197" s="181">
        <f t="shared" si="179"/>
        <v>1229.0999999999999</v>
      </c>
      <c r="W197" s="181">
        <f t="shared" si="180"/>
        <v>645.88800000000003</v>
      </c>
      <c r="Y197" s="181">
        <f t="shared" si="181"/>
        <v>1229.0999999999999</v>
      </c>
      <c r="Z197" s="181">
        <f t="shared" si="181"/>
        <v>645.88800000000003</v>
      </c>
      <c r="AB197" s="181">
        <f t="shared" si="182"/>
        <v>1255</v>
      </c>
      <c r="AC197" s="181">
        <f t="shared" si="182"/>
        <v>1229.6199999999999</v>
      </c>
    </row>
    <row r="198" spans="2:30" ht="15.75" customHeight="1" x14ac:dyDescent="0.25">
      <c r="B198" s="141" t="s">
        <v>128</v>
      </c>
      <c r="C198" s="8"/>
      <c r="D198" s="142">
        <f>SUM(D190:D197)</f>
        <v>5080.4999999999991</v>
      </c>
      <c r="E198" s="142">
        <f>SUM(E190:E197)</f>
        <v>5644.2999999999993</v>
      </c>
      <c r="F198" s="142">
        <f>SUM(F190:F197)</f>
        <v>0</v>
      </c>
      <c r="G198" s="142">
        <f>SUM(G190:G197)</f>
        <v>0</v>
      </c>
      <c r="H198" s="8"/>
      <c r="I198" s="142">
        <f>SUM(I190:I197)</f>
        <v>5725.7646219999997</v>
      </c>
      <c r="J198" s="142">
        <f>SUM(J190:J197)</f>
        <v>6457.5530000000008</v>
      </c>
      <c r="K198" s="142">
        <f>SUM(K190:K197)</f>
        <v>5837.2462189999997</v>
      </c>
      <c r="L198" s="142">
        <f>SUM(L190:L197)</f>
        <v>5181</v>
      </c>
      <c r="M198" s="8"/>
      <c r="N198" s="142">
        <v>6550.3198390000007</v>
      </c>
      <c r="O198" s="142">
        <f>SUM(O190:O197)</f>
        <v>6860.4830000000002</v>
      </c>
      <c r="P198" s="142">
        <f>SUM(P190:P197)</f>
        <v>7517.7734299999993</v>
      </c>
      <c r="Q198" s="142">
        <f>SUM(Q190:Q197)</f>
        <v>5331.1189999999997</v>
      </c>
      <c r="R198" s="8"/>
      <c r="S198" s="193">
        <f t="shared" ref="S198:AC198" si="183">SUM(S190:S197)</f>
        <v>5644.2999999999993</v>
      </c>
      <c r="T198" s="193">
        <f t="shared" si="183"/>
        <v>6457.5530000000008</v>
      </c>
      <c r="U198" s="200"/>
      <c r="V198" s="193">
        <f t="shared" si="183"/>
        <v>5644.2999999999993</v>
      </c>
      <c r="W198" s="193">
        <f t="shared" si="183"/>
        <v>6457.5530000000008</v>
      </c>
      <c r="X198" s="200"/>
      <c r="Y198" s="193">
        <f t="shared" si="183"/>
        <v>5644.2999999999993</v>
      </c>
      <c r="Z198" s="193">
        <f t="shared" ref="Z198" si="184">SUM(Z190:Z197)</f>
        <v>6457.5530000000008</v>
      </c>
      <c r="AA198" s="200"/>
      <c r="AB198" s="193">
        <f t="shared" si="183"/>
        <v>5181</v>
      </c>
      <c r="AC198" s="193">
        <f t="shared" si="183"/>
        <v>5331.1189999999997</v>
      </c>
      <c r="AD198" s="8"/>
    </row>
    <row r="199" spans="2:30" ht="15.75" customHeight="1" x14ac:dyDescent="0.25">
      <c r="D199" s="65"/>
      <c r="E199" s="65"/>
      <c r="F199" s="65"/>
      <c r="G199" s="65"/>
      <c r="I199" s="65"/>
      <c r="J199" s="65"/>
      <c r="K199" s="65"/>
      <c r="L199" s="65"/>
      <c r="N199" s="65"/>
      <c r="O199" s="65"/>
      <c r="P199" s="65"/>
      <c r="Q199" s="65"/>
      <c r="S199" s="186"/>
      <c r="T199" s="186"/>
      <c r="V199" s="186"/>
      <c r="W199" s="186"/>
      <c r="Y199" s="186"/>
      <c r="Z199" s="186"/>
      <c r="AB199" s="186"/>
      <c r="AC199" s="186"/>
    </row>
    <row r="200" spans="2:30" ht="15.75" customHeight="1" x14ac:dyDescent="0.25">
      <c r="B200" s="141" t="s">
        <v>129</v>
      </c>
      <c r="D200" s="142">
        <f>D198+D187</f>
        <v>9890.7999999999993</v>
      </c>
      <c r="E200" s="142">
        <f>E198+E187</f>
        <v>10345.599999999999</v>
      </c>
      <c r="F200" s="142">
        <f>F198+F187</f>
        <v>0</v>
      </c>
      <c r="G200" s="142">
        <f>G198+G187</f>
        <v>0</v>
      </c>
      <c r="I200" s="142">
        <f>I198+I187</f>
        <v>10649.903925999999</v>
      </c>
      <c r="J200" s="142">
        <f>J198+J187</f>
        <v>11265.311000000002</v>
      </c>
      <c r="K200" s="142">
        <f>K198+K187</f>
        <v>10565.942466</v>
      </c>
      <c r="L200" s="142">
        <f>L198+L187</f>
        <v>10024.4</v>
      </c>
      <c r="N200" s="142">
        <v>9632.7462550000018</v>
      </c>
      <c r="O200" s="142">
        <f>O198+O187</f>
        <v>9965.1270000000004</v>
      </c>
      <c r="P200" s="142">
        <f>P198+P187</f>
        <v>10558.698657000001</v>
      </c>
      <c r="Q200" s="142">
        <f>Q198+Q187</f>
        <v>10179.992</v>
      </c>
      <c r="S200" s="193">
        <f t="shared" ref="S200:AC200" si="185">S198+S187</f>
        <v>10345.599999999999</v>
      </c>
      <c r="T200" s="193">
        <f t="shared" si="185"/>
        <v>11265.311000000002</v>
      </c>
      <c r="V200" s="193">
        <f t="shared" si="185"/>
        <v>10345.599999999999</v>
      </c>
      <c r="W200" s="193">
        <f t="shared" si="185"/>
        <v>11265.311000000002</v>
      </c>
      <c r="X200" s="201"/>
      <c r="Y200" s="193">
        <f t="shared" si="185"/>
        <v>10345.599999999999</v>
      </c>
      <c r="Z200" s="193">
        <f t="shared" ref="Z200" si="186">Z198+Z187</f>
        <v>11265.311000000002</v>
      </c>
      <c r="AA200" s="201"/>
      <c r="AB200" s="193">
        <f t="shared" si="185"/>
        <v>10024.4</v>
      </c>
      <c r="AC200" s="193">
        <f t="shared" si="185"/>
        <v>10179.992</v>
      </c>
    </row>
    <row r="201" spans="2:30" ht="15.75" customHeight="1" x14ac:dyDescent="0.25">
      <c r="D201" s="148"/>
      <c r="I201" s="148"/>
      <c r="S201" s="177"/>
      <c r="T201" s="177"/>
      <c r="V201" s="177"/>
      <c r="W201" s="177"/>
      <c r="Y201" s="177"/>
      <c r="Z201" s="177"/>
      <c r="AB201" s="177"/>
      <c r="AC201" s="177"/>
    </row>
    <row r="202" spans="2:30" ht="18" customHeight="1" x14ac:dyDescent="0.4">
      <c r="B202" s="66"/>
      <c r="S202" s="177"/>
      <c r="T202" s="177"/>
      <c r="V202" s="177"/>
      <c r="W202" s="177"/>
      <c r="Y202" s="177"/>
      <c r="Z202" s="177"/>
      <c r="AB202" s="177"/>
      <c r="AC202" s="177"/>
    </row>
    <row r="203" spans="2:30" ht="18" customHeight="1" x14ac:dyDescent="0.4">
      <c r="B203" s="66"/>
      <c r="S203" s="177"/>
      <c r="T203" s="177"/>
      <c r="V203" s="177"/>
      <c r="W203" s="177"/>
      <c r="Y203" s="177"/>
      <c r="Z203" s="177"/>
      <c r="AB203" s="177"/>
      <c r="AC203" s="177"/>
    </row>
    <row r="204" spans="2:30" ht="23.25" customHeight="1" x14ac:dyDescent="0.4">
      <c r="B204" s="66" t="str">
        <f>B161</f>
        <v>STATEMENT OF FINANCIAL POSITION</v>
      </c>
      <c r="S204" s="177"/>
      <c r="T204" s="177"/>
      <c r="V204" s="177"/>
      <c r="W204" s="177"/>
      <c r="Y204" s="177"/>
      <c r="Z204" s="177"/>
      <c r="AB204" s="177"/>
      <c r="AC204" s="177"/>
    </row>
    <row r="205" spans="2:30" ht="15.75" customHeight="1" x14ac:dyDescent="0.25">
      <c r="D205" s="211"/>
      <c r="E205" s="212"/>
      <c r="F205" s="149"/>
      <c r="G205" s="149"/>
      <c r="I205" s="211"/>
      <c r="J205" s="212"/>
      <c r="K205" s="149"/>
      <c r="L205" s="149"/>
      <c r="S205" s="177"/>
      <c r="T205" s="177"/>
      <c r="V205" s="177"/>
      <c r="W205" s="177"/>
      <c r="Y205" s="177"/>
      <c r="Z205" s="177"/>
      <c r="AB205" s="177"/>
      <c r="AC205" s="177"/>
    </row>
    <row r="206" spans="2:30" ht="15.75" customHeight="1" x14ac:dyDescent="0.25">
      <c r="D206" s="8"/>
      <c r="E206" s="8"/>
      <c r="I206" s="8"/>
      <c r="J206" s="8"/>
      <c r="S206" s="177"/>
      <c r="T206" s="177"/>
      <c r="V206" s="177"/>
      <c r="W206" s="177"/>
      <c r="Y206" s="177"/>
      <c r="Z206" s="177"/>
      <c r="AB206" s="177"/>
      <c r="AC206" s="177"/>
    </row>
    <row r="207" spans="2:30" ht="15.75" customHeight="1" x14ac:dyDescent="0.25">
      <c r="B207" s="8" t="s">
        <v>42</v>
      </c>
      <c r="D207" s="134"/>
      <c r="E207" s="134"/>
      <c r="F207" s="134"/>
      <c r="G207" s="134"/>
      <c r="I207" s="134"/>
      <c r="J207" s="134"/>
      <c r="K207" s="134"/>
      <c r="L207" s="134"/>
      <c r="S207" s="177"/>
      <c r="T207" s="177"/>
      <c r="V207" s="177"/>
      <c r="W207" s="177"/>
      <c r="Y207" s="177"/>
      <c r="Z207" s="177"/>
      <c r="AB207" s="177"/>
      <c r="AC207" s="177"/>
    </row>
    <row r="208" spans="2:30" ht="15.75" customHeight="1" x14ac:dyDescent="0.25">
      <c r="S208" s="177"/>
      <c r="T208" s="177"/>
      <c r="V208" s="177"/>
      <c r="W208" s="177"/>
      <c r="Y208" s="177"/>
      <c r="Z208" s="177"/>
      <c r="AB208" s="177"/>
      <c r="AC208" s="177"/>
    </row>
    <row r="209" spans="2:30" ht="15.75" customHeight="1" x14ac:dyDescent="0.25">
      <c r="B209" s="63" t="s">
        <v>130</v>
      </c>
      <c r="S209" s="177"/>
      <c r="T209" s="177"/>
      <c r="V209" s="177"/>
      <c r="W209" s="177"/>
      <c r="Y209" s="177"/>
      <c r="Z209" s="177"/>
      <c r="AB209" s="177"/>
      <c r="AC209" s="177"/>
    </row>
    <row r="210" spans="2:30" ht="15.75" customHeight="1" x14ac:dyDescent="0.25">
      <c r="B210" s="63" t="s">
        <v>131</v>
      </c>
      <c r="C210" s="69"/>
      <c r="D210" s="125">
        <v>67.531999999999996</v>
      </c>
      <c r="E210" s="125">
        <v>67.531999999999996</v>
      </c>
      <c r="F210" s="125"/>
      <c r="G210" s="125"/>
      <c r="H210" s="69"/>
      <c r="I210" s="125">
        <v>67.531999999999996</v>
      </c>
      <c r="J210" s="125">
        <v>67.531999999999996</v>
      </c>
      <c r="K210" s="125">
        <v>67.531999999999996</v>
      </c>
      <c r="L210" s="125">
        <v>67.531999999999996</v>
      </c>
      <c r="M210" s="69"/>
      <c r="N210" s="125">
        <v>67.531999999999996</v>
      </c>
      <c r="O210" s="125">
        <v>67.531999999999996</v>
      </c>
      <c r="P210" s="125">
        <v>67.531999999999996</v>
      </c>
      <c r="Q210" s="125">
        <v>67.531999999999996</v>
      </c>
      <c r="R210" s="69"/>
      <c r="S210" s="181">
        <f t="shared" ref="S210:T213" si="187">SUMIFS($C210:$R210,$C$7:$R$7,S$7,$C$6:$R$6,S$6)</f>
        <v>67.531999999999996</v>
      </c>
      <c r="T210" s="181">
        <f t="shared" si="187"/>
        <v>67.531999999999996</v>
      </c>
      <c r="U210" s="204"/>
      <c r="V210" s="181">
        <f t="shared" ref="V210:V213" si="188">+S210</f>
        <v>67.531999999999996</v>
      </c>
      <c r="W210" s="181">
        <f t="shared" ref="W210:W213" si="189">+T210</f>
        <v>67.531999999999996</v>
      </c>
      <c r="Y210" s="181">
        <f t="shared" ref="Y210:Z213" si="190">SUMIFS($C210:$R210,$C$7:$R$7,VALUE(RIGHT(Y$7,4)),$C$6:$R$6,Y$6)</f>
        <v>67.531999999999996</v>
      </c>
      <c r="Z210" s="181">
        <f t="shared" si="190"/>
        <v>67.531999999999996</v>
      </c>
      <c r="AB210" s="181">
        <f t="shared" ref="AB210:AC213" si="191">SUMIFS($C210:$R210,$C$7:$R$7,AB$7,$C$6:$R$6,AB$6)</f>
        <v>67.531999999999996</v>
      </c>
      <c r="AC210" s="181">
        <f t="shared" si="191"/>
        <v>67.531999999999996</v>
      </c>
      <c r="AD210" s="69"/>
    </row>
    <row r="211" spans="2:30" ht="15.75" customHeight="1" x14ac:dyDescent="0.25">
      <c r="B211" s="63" t="s">
        <v>132</v>
      </c>
      <c r="D211" s="65">
        <v>-250.25999999999996</v>
      </c>
      <c r="E211" s="65">
        <v>-332.22099999999995</v>
      </c>
      <c r="F211" s="65"/>
      <c r="G211" s="125"/>
      <c r="I211" s="65">
        <v>-280.22499999999997</v>
      </c>
      <c r="J211" s="65">
        <v>-272.81700000000001</v>
      </c>
      <c r="K211" s="65">
        <v>-335.34499999999991</v>
      </c>
      <c r="L211" s="125">
        <v>-300.17699999999996</v>
      </c>
      <c r="N211" s="65">
        <v>-284.06999999999994</v>
      </c>
      <c r="O211" s="65">
        <v>-293.06999999999994</v>
      </c>
      <c r="P211" s="65">
        <v>-297.30700000000002</v>
      </c>
      <c r="Q211" s="65">
        <v>-329.375</v>
      </c>
      <c r="S211" s="186">
        <f t="shared" si="187"/>
        <v>-332.22099999999995</v>
      </c>
      <c r="T211" s="186">
        <f t="shared" si="187"/>
        <v>-272.81700000000001</v>
      </c>
      <c r="V211" s="181">
        <f t="shared" si="188"/>
        <v>-332.22099999999995</v>
      </c>
      <c r="W211" s="181">
        <f t="shared" si="189"/>
        <v>-272.81700000000001</v>
      </c>
      <c r="Y211" s="181">
        <f t="shared" si="190"/>
        <v>-332.22099999999995</v>
      </c>
      <c r="Z211" s="181">
        <f t="shared" si="190"/>
        <v>-272.81700000000001</v>
      </c>
      <c r="AB211" s="181">
        <f t="shared" si="191"/>
        <v>-300.17699999999996</v>
      </c>
      <c r="AC211" s="181">
        <f t="shared" si="191"/>
        <v>-329.375</v>
      </c>
    </row>
    <row r="212" spans="2:30" ht="15.75" customHeight="1" x14ac:dyDescent="0.25">
      <c r="B212" s="63" t="s">
        <v>133</v>
      </c>
      <c r="D212" s="125">
        <v>2512.6999999999998</v>
      </c>
      <c r="E212" s="125">
        <v>4506.4799999999996</v>
      </c>
      <c r="F212" s="125"/>
      <c r="G212" s="125"/>
      <c r="I212" s="125">
        <v>2512.6999999999998</v>
      </c>
      <c r="J212" s="125">
        <v>2512.6999999999998</v>
      </c>
      <c r="K212" s="125">
        <v>2512.6999999999998</v>
      </c>
      <c r="L212" s="125">
        <v>2512.6999999999998</v>
      </c>
      <c r="N212" s="125">
        <v>2512.6999999999998</v>
      </c>
      <c r="O212" s="125">
        <v>2512.6999999999998</v>
      </c>
      <c r="P212" s="125">
        <v>2512.6999999999998</v>
      </c>
      <c r="Q212" s="125">
        <v>2512.6999999999998</v>
      </c>
      <c r="S212" s="181">
        <f t="shared" si="187"/>
        <v>4506.4799999999996</v>
      </c>
      <c r="T212" s="181">
        <f t="shared" si="187"/>
        <v>2512.6999999999998</v>
      </c>
      <c r="V212" s="181">
        <f t="shared" si="188"/>
        <v>4506.4799999999996</v>
      </c>
      <c r="W212" s="181">
        <f t="shared" si="189"/>
        <v>2512.6999999999998</v>
      </c>
      <c r="Y212" s="181">
        <f t="shared" si="190"/>
        <v>4506.4799999999996</v>
      </c>
      <c r="Z212" s="181">
        <f t="shared" si="190"/>
        <v>2512.6999999999998</v>
      </c>
      <c r="AB212" s="181">
        <f t="shared" si="191"/>
        <v>2512.6999999999998</v>
      </c>
      <c r="AC212" s="181">
        <f t="shared" si="191"/>
        <v>2512.6999999999998</v>
      </c>
    </row>
    <row r="213" spans="2:30" ht="15.75" customHeight="1" x14ac:dyDescent="0.25">
      <c r="B213" s="63" t="s">
        <v>134</v>
      </c>
      <c r="C213" s="71"/>
      <c r="D213" s="65">
        <v>-1715.4706371372213</v>
      </c>
      <c r="E213" s="65">
        <v>-1957.6822587105066</v>
      </c>
      <c r="F213" s="65"/>
      <c r="G213" s="125"/>
      <c r="H213" s="71"/>
      <c r="I213" s="65">
        <v>-1104.1589999999956</v>
      </c>
      <c r="J213" s="65">
        <v>-1032.187999999996</v>
      </c>
      <c r="K213" s="65">
        <v>-1053.4919999999968</v>
      </c>
      <c r="L213" s="125">
        <v>-1421.4550033755143</v>
      </c>
      <c r="M213" s="71"/>
      <c r="N213" s="65">
        <v>-1755.3369999999961</v>
      </c>
      <c r="O213" s="65">
        <v>-1875.3389999999958</v>
      </c>
      <c r="P213" s="65">
        <v>-1346.4719999999948</v>
      </c>
      <c r="Q213" s="65">
        <v>-984.67106560111984</v>
      </c>
      <c r="R213" s="71"/>
      <c r="S213" s="186">
        <f t="shared" si="187"/>
        <v>-1957.6822587105066</v>
      </c>
      <c r="T213" s="186">
        <f t="shared" si="187"/>
        <v>-1032.187999999996</v>
      </c>
      <c r="U213" s="205"/>
      <c r="V213" s="181">
        <f t="shared" si="188"/>
        <v>-1957.6822587105066</v>
      </c>
      <c r="W213" s="181">
        <f t="shared" si="189"/>
        <v>-1032.187999999996</v>
      </c>
      <c r="Y213" s="181">
        <f t="shared" si="190"/>
        <v>-1957.6822587105066</v>
      </c>
      <c r="Z213" s="181">
        <f t="shared" si="190"/>
        <v>-1032.187999999996</v>
      </c>
      <c r="AB213" s="181">
        <f t="shared" si="191"/>
        <v>-1421.4550033755143</v>
      </c>
      <c r="AC213" s="181">
        <f t="shared" si="191"/>
        <v>-984.67106560111984</v>
      </c>
      <c r="AD213" s="71"/>
    </row>
    <row r="214" spans="2:30" ht="15.75" customHeight="1" x14ac:dyDescent="0.25">
      <c r="B214" s="141" t="s">
        <v>135</v>
      </c>
      <c r="C214" s="8"/>
      <c r="D214" s="142">
        <f>SUM(D210:D213)</f>
        <v>614.50136286277848</v>
      </c>
      <c r="E214" s="142">
        <f>SUM(E210:E213)</f>
        <v>2284.1087412894926</v>
      </c>
      <c r="F214" s="142">
        <f>SUM(F210:F213)</f>
        <v>0</v>
      </c>
      <c r="G214" s="142">
        <f>SUM(G210:G213)</f>
        <v>0</v>
      </c>
      <c r="H214" s="8"/>
      <c r="I214" s="142">
        <f>SUM(I210:I213)</f>
        <v>1195.848000000004</v>
      </c>
      <c r="J214" s="142">
        <f>SUM(J210:J213)</f>
        <v>1275.227000000004</v>
      </c>
      <c r="K214" s="142">
        <f>SUM(K210:K213)</f>
        <v>1191.3950000000029</v>
      </c>
      <c r="L214" s="142">
        <f>SUM(L210:L213)</f>
        <v>858.59999662448558</v>
      </c>
      <c r="M214" s="8"/>
      <c r="N214" s="142">
        <f>SUM(N210:N213)</f>
        <v>540.82500000000368</v>
      </c>
      <c r="O214" s="142">
        <f>SUM(O210:O213)</f>
        <v>411.82300000000396</v>
      </c>
      <c r="P214" s="142">
        <f>SUM(P210:P213)</f>
        <v>936.45300000000498</v>
      </c>
      <c r="Q214" s="142">
        <f>SUM(Q210:Q213)</f>
        <v>1266.1859343988801</v>
      </c>
      <c r="R214" s="8"/>
      <c r="S214" s="193">
        <f t="shared" ref="S214:W214" si="192">SUM(S210:S213)</f>
        <v>2284.1087412894926</v>
      </c>
      <c r="T214" s="193">
        <f t="shared" si="192"/>
        <v>1275.227000000004</v>
      </c>
      <c r="U214" s="200"/>
      <c r="V214" s="193">
        <f t="shared" si="192"/>
        <v>2284.1087412894926</v>
      </c>
      <c r="W214" s="193">
        <f t="shared" si="192"/>
        <v>1275.227000000004</v>
      </c>
      <c r="X214" s="200"/>
      <c r="Y214" s="193">
        <f t="shared" ref="Y214:AC214" si="193">SUM(Y210:Y213)</f>
        <v>2284.1087412894926</v>
      </c>
      <c r="Z214" s="193">
        <f t="shared" ref="Z214" si="194">SUM(Z210:Z213)</f>
        <v>1275.227000000004</v>
      </c>
      <c r="AA214" s="200"/>
      <c r="AB214" s="193">
        <f t="shared" si="193"/>
        <v>858.59999662448558</v>
      </c>
      <c r="AC214" s="193">
        <f t="shared" si="193"/>
        <v>1266.1859343988801</v>
      </c>
      <c r="AD214" s="8"/>
    </row>
    <row r="215" spans="2:30" ht="15.75" customHeight="1" x14ac:dyDescent="0.25">
      <c r="D215" s="65"/>
      <c r="E215" s="65"/>
      <c r="F215" s="65"/>
      <c r="G215" s="65"/>
      <c r="I215" s="65"/>
      <c r="J215" s="65"/>
      <c r="K215" s="65"/>
      <c r="L215" s="65"/>
      <c r="N215" s="65"/>
      <c r="O215" s="65"/>
      <c r="P215" s="65"/>
      <c r="Q215" s="65"/>
      <c r="S215" s="186"/>
      <c r="T215" s="186"/>
      <c r="V215" s="186"/>
      <c r="W215" s="186"/>
      <c r="Y215" s="186"/>
      <c r="Z215" s="186"/>
      <c r="AB215" s="186"/>
      <c r="AC215" s="186"/>
    </row>
    <row r="216" spans="2:30" ht="15.75" customHeight="1" x14ac:dyDescent="0.25">
      <c r="B216" s="63" t="s">
        <v>136</v>
      </c>
      <c r="D216" s="65"/>
      <c r="E216" s="65"/>
      <c r="F216" s="65"/>
      <c r="G216" s="65"/>
      <c r="I216" s="65"/>
      <c r="J216" s="65"/>
      <c r="K216" s="65"/>
      <c r="L216" s="65"/>
      <c r="N216" s="65"/>
      <c r="O216" s="65"/>
      <c r="P216" s="65"/>
      <c r="Q216" s="65"/>
      <c r="S216" s="186"/>
      <c r="T216" s="186"/>
      <c r="V216" s="186"/>
      <c r="W216" s="186"/>
      <c r="Y216" s="186"/>
      <c r="Z216" s="186"/>
      <c r="AB216" s="186"/>
      <c r="AC216" s="186"/>
    </row>
    <row r="217" spans="2:30" ht="15.75" customHeight="1" x14ac:dyDescent="0.25">
      <c r="B217" s="63" t="s">
        <v>234</v>
      </c>
      <c r="D217" s="125">
        <v>3906.8</v>
      </c>
      <c r="E217" s="125">
        <v>3326.3</v>
      </c>
      <c r="F217" s="125"/>
      <c r="G217" s="125"/>
      <c r="I217" s="125">
        <v>3853.02493</v>
      </c>
      <c r="J217" s="125">
        <v>3809.221</v>
      </c>
      <c r="K217" s="125">
        <v>3801.5007329999999</v>
      </c>
      <c r="L217" s="125">
        <v>3868.2</v>
      </c>
      <c r="N217" s="125">
        <f>3494.549157+1402.549522</f>
        <v>4897.0986789999997</v>
      </c>
      <c r="O217" s="125">
        <f>3675.322+1587.521</f>
        <v>5262.8429999999998</v>
      </c>
      <c r="P217" s="125">
        <f>3600.372049+1805.180728</f>
        <v>5405.5527769999999</v>
      </c>
      <c r="Q217" s="125">
        <f>3473.028+1144.586</f>
        <v>4617.6139999999996</v>
      </c>
      <c r="S217" s="181">
        <f t="shared" ref="S217:T220" si="195">SUMIFS($C217:$R217,$C$7:$R$7,S$7,$C$6:$R$6,S$6)</f>
        <v>3326.3</v>
      </c>
      <c r="T217" s="181">
        <f t="shared" si="195"/>
        <v>3809.221</v>
      </c>
      <c r="V217" s="181">
        <f t="shared" ref="V217:V220" si="196">+S217</f>
        <v>3326.3</v>
      </c>
      <c r="W217" s="181">
        <f t="shared" ref="W217:W220" si="197">+T217</f>
        <v>3809.221</v>
      </c>
      <c r="Y217" s="181">
        <f t="shared" ref="Y217:Z220" si="198">SUMIFS($C217:$R217,$C$7:$R$7,VALUE(RIGHT(Y$7,4)),$C$6:$R$6,Y$6)</f>
        <v>3326.3</v>
      </c>
      <c r="Z217" s="181">
        <f t="shared" si="198"/>
        <v>3809.221</v>
      </c>
      <c r="AB217" s="181">
        <f t="shared" ref="AB217:AC220" si="199">SUMIFS($C217:$R217,$C$7:$R$7,AB$7,$C$6:$R$6,AB$6)</f>
        <v>3868.2</v>
      </c>
      <c r="AC217" s="181">
        <f t="shared" si="199"/>
        <v>4617.6139999999996</v>
      </c>
    </row>
    <row r="218" spans="2:30" ht="15.75" customHeight="1" x14ac:dyDescent="0.25">
      <c r="B218" s="63" t="s">
        <v>235</v>
      </c>
      <c r="D218" s="125">
        <v>186.9</v>
      </c>
      <c r="E218" s="125">
        <v>175.5</v>
      </c>
      <c r="F218" s="125"/>
      <c r="G218" s="125"/>
      <c r="I218" s="125">
        <v>417.73599999999999</v>
      </c>
      <c r="J218" s="125">
        <v>404.43200000000002</v>
      </c>
      <c r="K218" s="125">
        <v>304.66899999999998</v>
      </c>
      <c r="L218" s="125">
        <v>281.89799999999997</v>
      </c>
      <c r="N218" s="125">
        <v>559.21500000000003</v>
      </c>
      <c r="O218" s="125">
        <v>559.86899999999991</v>
      </c>
      <c r="P218" s="125">
        <v>494.82100000000003</v>
      </c>
      <c r="Q218" s="125">
        <v>492.57899999999995</v>
      </c>
      <c r="S218" s="181">
        <f t="shared" si="195"/>
        <v>175.5</v>
      </c>
      <c r="T218" s="181">
        <f t="shared" si="195"/>
        <v>404.43200000000002</v>
      </c>
      <c r="V218" s="181">
        <f t="shared" si="196"/>
        <v>175.5</v>
      </c>
      <c r="W218" s="181">
        <f t="shared" si="197"/>
        <v>404.43200000000002</v>
      </c>
      <c r="Y218" s="181">
        <f t="shared" si="198"/>
        <v>175.5</v>
      </c>
      <c r="Z218" s="181">
        <f t="shared" si="198"/>
        <v>404.43200000000002</v>
      </c>
      <c r="AB218" s="181">
        <f t="shared" si="199"/>
        <v>281.89799999999997</v>
      </c>
      <c r="AC218" s="181">
        <f t="shared" si="199"/>
        <v>492.57899999999995</v>
      </c>
    </row>
    <row r="219" spans="2:30" ht="15.75" customHeight="1" x14ac:dyDescent="0.25">
      <c r="B219" s="63" t="s">
        <v>140</v>
      </c>
      <c r="D219" s="125">
        <v>382.3</v>
      </c>
      <c r="E219" s="125">
        <v>367.2</v>
      </c>
      <c r="F219" s="125"/>
      <c r="G219" s="125"/>
      <c r="I219" s="125">
        <v>424.67700000000002</v>
      </c>
      <c r="J219" s="125">
        <v>381.69299999999998</v>
      </c>
      <c r="K219" s="125">
        <v>338.70100000000002</v>
      </c>
      <c r="L219" s="125">
        <v>353.5</v>
      </c>
      <c r="N219" s="125">
        <v>534.64300000000003</v>
      </c>
      <c r="O219" s="125">
        <v>517.59900000000005</v>
      </c>
      <c r="P219" s="125">
        <v>450.51499999999999</v>
      </c>
      <c r="Q219" s="125">
        <v>378.25200000000001</v>
      </c>
      <c r="S219" s="181">
        <f t="shared" si="195"/>
        <v>367.2</v>
      </c>
      <c r="T219" s="181">
        <f t="shared" si="195"/>
        <v>381.69299999999998</v>
      </c>
      <c r="V219" s="181">
        <f t="shared" si="196"/>
        <v>367.2</v>
      </c>
      <c r="W219" s="181">
        <f t="shared" si="197"/>
        <v>381.69299999999998</v>
      </c>
      <c r="Y219" s="181">
        <f t="shared" si="198"/>
        <v>367.2</v>
      </c>
      <c r="Z219" s="181">
        <f t="shared" si="198"/>
        <v>381.69299999999998</v>
      </c>
      <c r="AB219" s="181">
        <f t="shared" si="199"/>
        <v>353.5</v>
      </c>
      <c r="AC219" s="181">
        <f t="shared" si="199"/>
        <v>378.25200000000001</v>
      </c>
    </row>
    <row r="220" spans="2:30" ht="15.75" customHeight="1" x14ac:dyDescent="0.25">
      <c r="B220" s="150" t="s">
        <v>142</v>
      </c>
      <c r="D220" s="65">
        <v>792.6</v>
      </c>
      <c r="E220" s="65">
        <v>820.8</v>
      </c>
      <c r="F220" s="65"/>
      <c r="G220" s="65"/>
      <c r="I220" s="65">
        <v>797.56800199999998</v>
      </c>
      <c r="J220" s="65">
        <v>795.45299999999997</v>
      </c>
      <c r="K220" s="65">
        <v>799.09446500000001</v>
      </c>
      <c r="L220" s="65">
        <v>824.3</v>
      </c>
      <c r="N220" s="65">
        <v>644.190563</v>
      </c>
      <c r="O220" s="65">
        <v>678.90899999999999</v>
      </c>
      <c r="P220" s="65">
        <v>672.85006399999997</v>
      </c>
      <c r="Q220" s="65">
        <v>762.15700000000004</v>
      </c>
      <c r="S220" s="186">
        <f t="shared" si="195"/>
        <v>820.8</v>
      </c>
      <c r="T220" s="186">
        <f t="shared" si="195"/>
        <v>795.45299999999997</v>
      </c>
      <c r="V220" s="181">
        <f t="shared" si="196"/>
        <v>820.8</v>
      </c>
      <c r="W220" s="181">
        <f t="shared" si="197"/>
        <v>795.45299999999997</v>
      </c>
      <c r="Y220" s="181">
        <f t="shared" si="198"/>
        <v>820.8</v>
      </c>
      <c r="Z220" s="181">
        <f t="shared" si="198"/>
        <v>795.45299999999997</v>
      </c>
      <c r="AB220" s="181">
        <f t="shared" si="199"/>
        <v>824.3</v>
      </c>
      <c r="AC220" s="181">
        <f t="shared" si="199"/>
        <v>762.15700000000004</v>
      </c>
    </row>
    <row r="221" spans="2:30" ht="15.75" customHeight="1" x14ac:dyDescent="0.25">
      <c r="B221" s="8" t="s">
        <v>143</v>
      </c>
      <c r="C221" s="8"/>
      <c r="D221" s="142">
        <f t="shared" ref="D221:G221" si="200">SUM(D217:D220)</f>
        <v>5268.6</v>
      </c>
      <c r="E221" s="142">
        <f t="shared" si="200"/>
        <v>4689.8</v>
      </c>
      <c r="F221" s="142">
        <f t="shared" si="200"/>
        <v>0</v>
      </c>
      <c r="G221" s="142">
        <f t="shared" si="200"/>
        <v>0</v>
      </c>
      <c r="H221" s="8"/>
      <c r="I221" s="142">
        <f>SUM(I217:I220)</f>
        <v>5493.005932</v>
      </c>
      <c r="J221" s="142">
        <f>SUM(J217:J220)</f>
        <v>5390.7990000000009</v>
      </c>
      <c r="K221" s="142">
        <f>SUM(K217:K220)</f>
        <v>5243.9651979999999</v>
      </c>
      <c r="L221" s="142">
        <f>SUM(L217:L220)</f>
        <v>5327.8980000000001</v>
      </c>
      <c r="M221" s="8"/>
      <c r="N221" s="142">
        <f>SUM(N217:N220)</f>
        <v>6635.147242</v>
      </c>
      <c r="O221" s="142">
        <f>SUM(O217:O220)</f>
        <v>7019.2199999999993</v>
      </c>
      <c r="P221" s="142">
        <f>SUM(P217:P220)</f>
        <v>7023.7388410000003</v>
      </c>
      <c r="Q221" s="142">
        <f>SUM(Q217:Q220)+0.028</f>
        <v>6250.63</v>
      </c>
      <c r="R221" s="8"/>
      <c r="S221" s="193">
        <f t="shared" ref="S221:AC221" si="201">SUM(S217:S220)+0.028</f>
        <v>4689.8280000000004</v>
      </c>
      <c r="T221" s="193">
        <f t="shared" si="201"/>
        <v>5390.8270000000011</v>
      </c>
      <c r="U221" s="200"/>
      <c r="V221" s="193">
        <f t="shared" si="201"/>
        <v>4689.8280000000004</v>
      </c>
      <c r="W221" s="193">
        <f t="shared" si="201"/>
        <v>5390.8270000000011</v>
      </c>
      <c r="X221" s="200"/>
      <c r="Y221" s="193">
        <f t="shared" si="201"/>
        <v>4689.8280000000004</v>
      </c>
      <c r="Z221" s="193">
        <f t="shared" ref="Z221" si="202">SUM(Z217:Z220)+0.028</f>
        <v>5390.8270000000011</v>
      </c>
      <c r="AA221" s="200"/>
      <c r="AB221" s="193">
        <f t="shared" si="201"/>
        <v>5327.9260000000004</v>
      </c>
      <c r="AC221" s="193">
        <f t="shared" si="201"/>
        <v>6250.63</v>
      </c>
      <c r="AD221" s="8"/>
    </row>
    <row r="222" spans="2:30" ht="15.75" customHeight="1" x14ac:dyDescent="0.25">
      <c r="D222" s="65"/>
      <c r="E222" s="65"/>
      <c r="F222" s="65"/>
      <c r="G222" s="65"/>
      <c r="I222" s="65"/>
      <c r="J222" s="65"/>
      <c r="K222" s="65"/>
      <c r="L222" s="65"/>
      <c r="N222" s="65"/>
      <c r="O222" s="65"/>
      <c r="P222" s="65"/>
      <c r="Q222" s="65"/>
      <c r="S222" s="186"/>
      <c r="T222" s="186"/>
      <c r="V222" s="186"/>
      <c r="W222" s="186"/>
      <c r="Y222" s="186"/>
      <c r="Z222" s="186"/>
      <c r="AB222" s="186"/>
      <c r="AC222" s="186"/>
    </row>
    <row r="223" spans="2:30" ht="15.75" customHeight="1" x14ac:dyDescent="0.25">
      <c r="B223" s="63" t="s">
        <v>144</v>
      </c>
      <c r="D223" s="65"/>
      <c r="E223" s="65"/>
      <c r="F223" s="65"/>
      <c r="G223" s="65"/>
      <c r="I223" s="65"/>
      <c r="J223" s="65"/>
      <c r="K223" s="65"/>
      <c r="L223" s="65"/>
      <c r="N223" s="65"/>
      <c r="O223" s="65"/>
      <c r="P223" s="65"/>
      <c r="Q223" s="65"/>
      <c r="S223" s="186"/>
      <c r="T223" s="186"/>
      <c r="V223" s="186"/>
      <c r="W223" s="186"/>
      <c r="Y223" s="186"/>
      <c r="Z223" s="186"/>
      <c r="AB223" s="186"/>
      <c r="AC223" s="186"/>
    </row>
    <row r="224" spans="2:30" ht="15.75" customHeight="1" x14ac:dyDescent="0.25">
      <c r="B224" s="63" t="s">
        <v>145</v>
      </c>
      <c r="D224" s="65">
        <v>21.4</v>
      </c>
      <c r="E224" s="65">
        <v>21.4</v>
      </c>
      <c r="F224" s="65"/>
      <c r="G224" s="65"/>
      <c r="I224" s="65">
        <v>21.005991000000002</v>
      </c>
      <c r="J224" s="65">
        <v>21.006</v>
      </c>
      <c r="K224" s="65">
        <v>21.005991000000002</v>
      </c>
      <c r="L224" s="65">
        <v>21.4</v>
      </c>
      <c r="N224" s="65">
        <v>19.176397000000001</v>
      </c>
      <c r="O224" s="65">
        <v>19.175999999999998</v>
      </c>
      <c r="P224" s="65">
        <v>19.176397000000001</v>
      </c>
      <c r="Q224" s="65">
        <v>21.006</v>
      </c>
      <c r="S224" s="186">
        <f t="shared" ref="S224:T226" si="203">SUMIFS($C224:$R224,$C$7:$R$7,S$7,$C$6:$R$6,S$6)</f>
        <v>21.4</v>
      </c>
      <c r="T224" s="186">
        <f t="shared" si="203"/>
        <v>21.006</v>
      </c>
      <c r="V224" s="181">
        <f t="shared" ref="V224:V226" si="204">+S224</f>
        <v>21.4</v>
      </c>
      <c r="W224" s="181">
        <f t="shared" ref="W224:W226" si="205">+T224</f>
        <v>21.006</v>
      </c>
      <c r="Y224" s="181">
        <f t="shared" ref="Y224:Z226" si="206">SUMIFS($C224:$R224,$C$7:$R$7,VALUE(RIGHT(Y$7,4)),$C$6:$R$6,Y$6)</f>
        <v>21.4</v>
      </c>
      <c r="Z224" s="181">
        <f t="shared" si="206"/>
        <v>21.006</v>
      </c>
      <c r="AB224" s="181">
        <f t="shared" ref="AB224:AC226" si="207">SUMIFS($C224:$R224,$C$7:$R$7,AB$7,$C$6:$R$6,AB$6)</f>
        <v>21.4</v>
      </c>
      <c r="AC224" s="181">
        <f t="shared" si="207"/>
        <v>21.006</v>
      </c>
    </row>
    <row r="225" spans="2:30" ht="15.75" customHeight="1" x14ac:dyDescent="0.25">
      <c r="B225" s="63" t="s">
        <v>146</v>
      </c>
      <c r="D225" s="65">
        <v>106.9</v>
      </c>
      <c r="E225" s="65">
        <v>27.5</v>
      </c>
      <c r="F225" s="65"/>
      <c r="G225" s="65"/>
      <c r="I225" s="65">
        <v>108.45416899999999</v>
      </c>
      <c r="J225" s="65">
        <v>108.407</v>
      </c>
      <c r="K225" s="65">
        <v>108.404411</v>
      </c>
      <c r="L225" s="65">
        <v>108.2</v>
      </c>
      <c r="N225" s="65">
        <v>9.2183610000000016</v>
      </c>
      <c r="O225" s="65">
        <v>11.66</v>
      </c>
      <c r="P225" s="65">
        <v>10.724433000000001</v>
      </c>
      <c r="Q225" s="65">
        <v>106.999</v>
      </c>
      <c r="S225" s="186">
        <f t="shared" si="203"/>
        <v>27.5</v>
      </c>
      <c r="T225" s="186">
        <f t="shared" si="203"/>
        <v>108.407</v>
      </c>
      <c r="V225" s="181">
        <f t="shared" si="204"/>
        <v>27.5</v>
      </c>
      <c r="W225" s="181">
        <f t="shared" si="205"/>
        <v>108.407</v>
      </c>
      <c r="Y225" s="181">
        <f t="shared" si="206"/>
        <v>27.5</v>
      </c>
      <c r="Z225" s="181">
        <f t="shared" si="206"/>
        <v>108.407</v>
      </c>
      <c r="AB225" s="181">
        <f t="shared" si="207"/>
        <v>108.2</v>
      </c>
      <c r="AC225" s="181">
        <f t="shared" si="207"/>
        <v>106.999</v>
      </c>
    </row>
    <row r="226" spans="2:30" ht="15.75" customHeight="1" x14ac:dyDescent="0.25">
      <c r="B226" s="63" t="s">
        <v>236</v>
      </c>
      <c r="D226" s="65">
        <v>175.59199999999998</v>
      </c>
      <c r="E226" s="65">
        <v>181.71699999999998</v>
      </c>
      <c r="F226" s="65"/>
      <c r="G226" s="65"/>
      <c r="I226" s="65">
        <v>472.44753899999995</v>
      </c>
      <c r="J226" s="65">
        <v>332.85499999999996</v>
      </c>
      <c r="K226" s="65">
        <v>299.48648600000007</v>
      </c>
      <c r="L226" s="65">
        <v>257.40000000000003</v>
      </c>
      <c r="N226" s="65">
        <v>647.31436800000006</v>
      </c>
      <c r="O226" s="65">
        <v>546.65200000000004</v>
      </c>
      <c r="P226" s="65">
        <v>369.56194999999991</v>
      </c>
      <c r="Q226" s="65">
        <v>386.32699999999994</v>
      </c>
      <c r="S226" s="186">
        <f t="shared" si="203"/>
        <v>181.71699999999998</v>
      </c>
      <c r="T226" s="186">
        <f t="shared" si="203"/>
        <v>332.85499999999996</v>
      </c>
      <c r="V226" s="181">
        <f t="shared" si="204"/>
        <v>181.71699999999998</v>
      </c>
      <c r="W226" s="181">
        <f t="shared" si="205"/>
        <v>332.85499999999996</v>
      </c>
      <c r="Y226" s="181">
        <f t="shared" si="206"/>
        <v>181.71699999999998</v>
      </c>
      <c r="Z226" s="181">
        <f t="shared" si="206"/>
        <v>332.85499999999996</v>
      </c>
      <c r="AB226" s="181">
        <f t="shared" si="207"/>
        <v>257.40000000000003</v>
      </c>
      <c r="AC226" s="181">
        <f t="shared" si="207"/>
        <v>386.32699999999994</v>
      </c>
    </row>
    <row r="227" spans="2:30" ht="15.75" customHeight="1" x14ac:dyDescent="0.25">
      <c r="B227" s="141" t="s">
        <v>148</v>
      </c>
      <c r="C227" s="8"/>
      <c r="D227" s="142">
        <f t="shared" ref="D227:G227" si="208">SUM(D224:D226)</f>
        <v>303.892</v>
      </c>
      <c r="E227" s="142">
        <f t="shared" si="208"/>
        <v>230.61699999999999</v>
      </c>
      <c r="F227" s="142">
        <f t="shared" si="208"/>
        <v>0</v>
      </c>
      <c r="G227" s="142">
        <f t="shared" si="208"/>
        <v>0</v>
      </c>
      <c r="H227" s="8"/>
      <c r="I227" s="142">
        <f>SUM(I224:I226)</f>
        <v>601.90769899999998</v>
      </c>
      <c r="J227" s="142">
        <f>SUM(J224:J226)</f>
        <v>462.26799999999997</v>
      </c>
      <c r="K227" s="142">
        <f>SUM(K224:K226)</f>
        <v>428.8968880000001</v>
      </c>
      <c r="L227" s="142">
        <f>SUM(L224:L226)</f>
        <v>387</v>
      </c>
      <c r="M227" s="8"/>
      <c r="N227" s="142">
        <f>SUM(N224:N226)</f>
        <v>675.70912600000008</v>
      </c>
      <c r="O227" s="142">
        <f>SUM(O224:O226)</f>
        <v>577.48800000000006</v>
      </c>
      <c r="P227" s="142">
        <f>SUM(P224:P226)</f>
        <v>399.4627799999999</v>
      </c>
      <c r="Q227" s="142">
        <f>SUM(Q224:Q226)</f>
        <v>514.33199999999988</v>
      </c>
      <c r="R227" s="8"/>
      <c r="S227" s="193">
        <f t="shared" ref="S227:AC227" si="209">SUM(S224:S226)</f>
        <v>230.61699999999999</v>
      </c>
      <c r="T227" s="193">
        <f t="shared" si="209"/>
        <v>462.26799999999997</v>
      </c>
      <c r="U227" s="200"/>
      <c r="V227" s="193">
        <f t="shared" si="209"/>
        <v>230.61699999999999</v>
      </c>
      <c r="W227" s="193">
        <f t="shared" si="209"/>
        <v>462.26799999999997</v>
      </c>
      <c r="X227" s="200"/>
      <c r="Y227" s="193">
        <f t="shared" si="209"/>
        <v>230.61699999999999</v>
      </c>
      <c r="Z227" s="193">
        <f t="shared" ref="Z227" si="210">SUM(Z224:Z226)</f>
        <v>462.26799999999997</v>
      </c>
      <c r="AA227" s="200"/>
      <c r="AB227" s="193">
        <f t="shared" si="209"/>
        <v>387</v>
      </c>
      <c r="AC227" s="193">
        <f t="shared" si="209"/>
        <v>514.33199999999988</v>
      </c>
      <c r="AD227" s="8"/>
    </row>
    <row r="228" spans="2:30" ht="15.75" customHeight="1" x14ac:dyDescent="0.25">
      <c r="D228" s="65"/>
      <c r="E228" s="65"/>
      <c r="F228" s="65"/>
      <c r="G228" s="65"/>
      <c r="I228" s="65"/>
      <c r="J228" s="65"/>
      <c r="K228" s="65"/>
      <c r="L228" s="65"/>
      <c r="N228" s="65"/>
      <c r="O228" s="65"/>
      <c r="P228" s="65"/>
      <c r="Q228" s="65"/>
      <c r="S228" s="186"/>
      <c r="T228" s="186"/>
      <c r="V228" s="186"/>
      <c r="W228" s="186"/>
      <c r="Y228" s="186"/>
      <c r="Z228" s="186"/>
      <c r="AB228" s="186"/>
      <c r="AC228" s="186"/>
    </row>
    <row r="229" spans="2:30" ht="15.75" customHeight="1" x14ac:dyDescent="0.25">
      <c r="B229" s="8" t="s">
        <v>149</v>
      </c>
      <c r="D229" s="68">
        <f t="shared" ref="D229:G229" si="211">D221+D227</f>
        <v>5572.4920000000002</v>
      </c>
      <c r="E229" s="68">
        <f t="shared" si="211"/>
        <v>4920.4170000000004</v>
      </c>
      <c r="F229" s="68">
        <f t="shared" si="211"/>
        <v>0</v>
      </c>
      <c r="G229" s="68">
        <f t="shared" si="211"/>
        <v>0</v>
      </c>
      <c r="I229" s="68">
        <f>I221+I227</f>
        <v>6094.9136310000004</v>
      </c>
      <c r="J229" s="68">
        <f>J221+J227</f>
        <v>5853.0670000000009</v>
      </c>
      <c r="K229" s="68">
        <f>K221+K227</f>
        <v>5672.8620860000001</v>
      </c>
      <c r="L229" s="68">
        <f>L221+L227</f>
        <v>5714.8980000000001</v>
      </c>
      <c r="N229" s="68">
        <f>N221+N227</f>
        <v>7310.8563679999997</v>
      </c>
      <c r="O229" s="68">
        <f>O221+O227</f>
        <v>7596.7079999999996</v>
      </c>
      <c r="P229" s="68">
        <f>P221+P227</f>
        <v>7423.2016210000002</v>
      </c>
      <c r="Q229" s="68">
        <f>Q221+Q227</f>
        <v>6764.9619999999995</v>
      </c>
      <c r="S229" s="185">
        <f t="shared" ref="S229:AC229" si="212">S221+S227</f>
        <v>4920.4450000000006</v>
      </c>
      <c r="T229" s="185">
        <f t="shared" si="212"/>
        <v>5853.0950000000012</v>
      </c>
      <c r="V229" s="185">
        <f t="shared" si="212"/>
        <v>4920.4450000000006</v>
      </c>
      <c r="W229" s="185">
        <f t="shared" si="212"/>
        <v>5853.0950000000012</v>
      </c>
      <c r="Y229" s="185">
        <f t="shared" si="212"/>
        <v>4920.4450000000006</v>
      </c>
      <c r="Z229" s="185">
        <f t="shared" ref="Z229" si="213">Z221+Z227</f>
        <v>5853.0950000000012</v>
      </c>
      <c r="AB229" s="185">
        <f t="shared" si="212"/>
        <v>5714.9260000000004</v>
      </c>
      <c r="AC229" s="185">
        <f t="shared" si="212"/>
        <v>6764.9619999999995</v>
      </c>
    </row>
    <row r="230" spans="2:30" ht="15.75" customHeight="1" x14ac:dyDescent="0.25">
      <c r="D230" s="65"/>
      <c r="E230" s="65"/>
      <c r="F230" s="65"/>
      <c r="G230" s="65"/>
      <c r="I230" s="65"/>
      <c r="J230" s="65"/>
      <c r="K230" s="65"/>
      <c r="L230" s="65"/>
      <c r="N230" s="65"/>
      <c r="O230" s="65"/>
      <c r="P230" s="65"/>
      <c r="Q230" s="65"/>
      <c r="S230" s="186"/>
      <c r="T230" s="186"/>
      <c r="V230" s="186"/>
      <c r="W230" s="186"/>
      <c r="Y230" s="186"/>
      <c r="Z230" s="186"/>
      <c r="AB230" s="186"/>
      <c r="AC230" s="186"/>
    </row>
    <row r="231" spans="2:30" ht="15.75" customHeight="1" x14ac:dyDescent="0.25">
      <c r="B231" s="63" t="s">
        <v>136</v>
      </c>
      <c r="D231" s="65"/>
      <c r="E231" s="65"/>
      <c r="F231" s="65"/>
      <c r="G231" s="65"/>
      <c r="I231" s="65"/>
      <c r="J231" s="65"/>
      <c r="K231" s="65"/>
      <c r="L231" s="65"/>
      <c r="N231" s="65"/>
      <c r="O231" s="65"/>
      <c r="P231" s="65"/>
      <c r="Q231" s="65"/>
      <c r="S231" s="186"/>
      <c r="T231" s="186"/>
      <c r="V231" s="186"/>
      <c r="W231" s="186"/>
      <c r="Y231" s="186"/>
      <c r="Z231" s="186"/>
      <c r="AB231" s="186"/>
      <c r="AC231" s="186"/>
    </row>
    <row r="232" spans="2:30" ht="15.75" customHeight="1" x14ac:dyDescent="0.25">
      <c r="B232" s="63" t="s">
        <v>151</v>
      </c>
      <c r="D232" s="125">
        <v>1412.9</v>
      </c>
      <c r="E232" s="125">
        <v>669.8</v>
      </c>
      <c r="F232" s="125"/>
      <c r="G232" s="125"/>
      <c r="I232" s="125">
        <v>1506.0621529999999</v>
      </c>
      <c r="J232" s="125">
        <v>2125.0830000000001</v>
      </c>
      <c r="K232" s="125">
        <v>1370.6400209999999</v>
      </c>
      <c r="L232" s="125">
        <v>1095.2</v>
      </c>
      <c r="N232" s="125">
        <v>0</v>
      </c>
      <c r="O232" s="125">
        <v>0</v>
      </c>
      <c r="P232" s="125">
        <v>0</v>
      </c>
      <c r="Q232" s="125">
        <v>0</v>
      </c>
      <c r="S232" s="181">
        <f t="shared" ref="S232:T234" si="214">SUMIFS($C232:$R232,$C$7:$R$7,S$7,$C$6:$R$6,S$6)</f>
        <v>669.8</v>
      </c>
      <c r="T232" s="181">
        <f t="shared" si="214"/>
        <v>2125.0830000000001</v>
      </c>
      <c r="V232" s="181">
        <f t="shared" ref="V232:V234" si="215">+S232</f>
        <v>669.8</v>
      </c>
      <c r="W232" s="181">
        <f t="shared" ref="W232:W234" si="216">+T232</f>
        <v>2125.0830000000001</v>
      </c>
      <c r="Y232" s="181">
        <f t="shared" ref="Y232:Z234" si="217">SUMIFS($C232:$R232,$C$7:$R$7,VALUE(RIGHT(Y$7,4)),$C$6:$R$6,Y$6)</f>
        <v>669.8</v>
      </c>
      <c r="Z232" s="181">
        <f t="shared" si="217"/>
        <v>2125.0830000000001</v>
      </c>
      <c r="AB232" s="181">
        <f t="shared" ref="AB232:AC234" si="218">SUMIFS($C232:$R232,$C$7:$R$7,AB$7,$C$6:$R$6,AB$6)</f>
        <v>1095.2</v>
      </c>
      <c r="AC232" s="181">
        <f t="shared" si="218"/>
        <v>0</v>
      </c>
    </row>
    <row r="233" spans="2:30" ht="15.75" customHeight="1" x14ac:dyDescent="0.25">
      <c r="B233" s="63" t="s">
        <v>152</v>
      </c>
      <c r="D233" s="125">
        <v>222.7</v>
      </c>
      <c r="E233" s="125">
        <v>225</v>
      </c>
      <c r="F233" s="125"/>
      <c r="G233" s="125"/>
      <c r="I233" s="125">
        <v>181.79400000000001</v>
      </c>
      <c r="J233" s="125">
        <v>181.79400000000001</v>
      </c>
      <c r="K233" s="125">
        <v>215.667</v>
      </c>
      <c r="L233" s="125">
        <v>235.142</v>
      </c>
      <c r="N233" s="125">
        <v>106.36499999999999</v>
      </c>
      <c r="O233" s="125">
        <v>105.09399999999999</v>
      </c>
      <c r="P233" s="125">
        <v>151.58099999999999</v>
      </c>
      <c r="Q233" s="125">
        <v>151.58099999999999</v>
      </c>
      <c r="S233" s="181">
        <f t="shared" si="214"/>
        <v>225</v>
      </c>
      <c r="T233" s="181">
        <f t="shared" si="214"/>
        <v>181.79400000000001</v>
      </c>
      <c r="V233" s="181">
        <f t="shared" si="215"/>
        <v>225</v>
      </c>
      <c r="W233" s="181">
        <f t="shared" si="216"/>
        <v>181.79400000000001</v>
      </c>
      <c r="Y233" s="181">
        <f t="shared" si="217"/>
        <v>225</v>
      </c>
      <c r="Z233" s="181">
        <f t="shared" si="217"/>
        <v>181.79400000000001</v>
      </c>
      <c r="AB233" s="181">
        <f t="shared" si="218"/>
        <v>235.142</v>
      </c>
      <c r="AC233" s="181">
        <f t="shared" si="218"/>
        <v>151.58099999999999</v>
      </c>
    </row>
    <row r="234" spans="2:30" ht="15.75" customHeight="1" x14ac:dyDescent="0.25">
      <c r="B234" s="63" t="s">
        <v>153</v>
      </c>
      <c r="D234" s="125">
        <v>207.1</v>
      </c>
      <c r="E234" s="125">
        <v>188.8</v>
      </c>
      <c r="F234" s="125"/>
      <c r="G234" s="125"/>
      <c r="I234" s="125">
        <v>231.81399999999999</v>
      </c>
      <c r="J234" s="125">
        <v>204.65600000000001</v>
      </c>
      <c r="K234" s="125">
        <v>176.886</v>
      </c>
      <c r="L234" s="125">
        <v>223.8</v>
      </c>
      <c r="N234" s="125">
        <v>258.91500000000002</v>
      </c>
      <c r="O234" s="125">
        <v>250.09</v>
      </c>
      <c r="P234" s="125">
        <v>239.45699999999999</v>
      </c>
      <c r="Q234" s="125">
        <v>225.99299999999999</v>
      </c>
      <c r="S234" s="181">
        <f t="shared" si="214"/>
        <v>188.8</v>
      </c>
      <c r="T234" s="181">
        <f t="shared" si="214"/>
        <v>204.65600000000001</v>
      </c>
      <c r="V234" s="181">
        <f t="shared" si="215"/>
        <v>188.8</v>
      </c>
      <c r="W234" s="181">
        <f t="shared" si="216"/>
        <v>204.65600000000001</v>
      </c>
      <c r="Y234" s="181">
        <f t="shared" si="217"/>
        <v>188.8</v>
      </c>
      <c r="Z234" s="181">
        <f t="shared" si="217"/>
        <v>204.65600000000001</v>
      </c>
      <c r="AB234" s="181">
        <f t="shared" si="218"/>
        <v>223.8</v>
      </c>
      <c r="AC234" s="181">
        <f t="shared" si="218"/>
        <v>225.99299999999999</v>
      </c>
    </row>
    <row r="235" spans="2:30" ht="15.75" customHeight="1" x14ac:dyDescent="0.25">
      <c r="B235" s="141" t="s">
        <v>154</v>
      </c>
      <c r="C235" s="8"/>
      <c r="D235" s="142">
        <f t="shared" ref="D235:G235" si="219">SUM(D232:D234)</f>
        <v>1842.7</v>
      </c>
      <c r="E235" s="142">
        <f t="shared" si="219"/>
        <v>1083.5999999999999</v>
      </c>
      <c r="F235" s="142">
        <f t="shared" si="219"/>
        <v>0</v>
      </c>
      <c r="G235" s="142">
        <f t="shared" si="219"/>
        <v>0</v>
      </c>
      <c r="H235" s="8"/>
      <c r="I235" s="142">
        <f>SUM(I232:I234)</f>
        <v>1919.670153</v>
      </c>
      <c r="J235" s="142">
        <f>SUM(J232:J234)</f>
        <v>2511.5329999999999</v>
      </c>
      <c r="K235" s="142">
        <f>SUM(K232:K234)</f>
        <v>1763.1930209999998</v>
      </c>
      <c r="L235" s="142">
        <f>SUM(L232:L234)</f>
        <v>1554.1420000000001</v>
      </c>
      <c r="M235" s="8"/>
      <c r="N235" s="142">
        <f>SUM(N232:N234)</f>
        <v>365.28000000000003</v>
      </c>
      <c r="O235" s="142">
        <f>SUM(O232:O234)</f>
        <v>355.18399999999997</v>
      </c>
      <c r="P235" s="142">
        <f>SUM(P232:P234)</f>
        <v>391.03800000000001</v>
      </c>
      <c r="Q235" s="142">
        <f>SUM(Q232:Q234)</f>
        <v>377.57399999999996</v>
      </c>
      <c r="R235" s="8"/>
      <c r="S235" s="193">
        <f t="shared" ref="S235:AC235" si="220">SUM(S232:S234)</f>
        <v>1083.5999999999999</v>
      </c>
      <c r="T235" s="193">
        <f t="shared" si="220"/>
        <v>2511.5329999999999</v>
      </c>
      <c r="U235" s="200"/>
      <c r="V235" s="193">
        <f t="shared" si="220"/>
        <v>1083.5999999999999</v>
      </c>
      <c r="W235" s="193">
        <f t="shared" si="220"/>
        <v>2511.5329999999999</v>
      </c>
      <c r="X235" s="200"/>
      <c r="Y235" s="193">
        <f t="shared" si="220"/>
        <v>1083.5999999999999</v>
      </c>
      <c r="Z235" s="193">
        <f t="shared" ref="Z235" si="221">SUM(Z232:Z234)</f>
        <v>2511.5329999999999</v>
      </c>
      <c r="AA235" s="200"/>
      <c r="AB235" s="193">
        <f t="shared" si="220"/>
        <v>1554.1420000000001</v>
      </c>
      <c r="AC235" s="193">
        <f t="shared" si="220"/>
        <v>377.57399999999996</v>
      </c>
      <c r="AD235" s="8"/>
    </row>
    <row r="236" spans="2:30" ht="15.75" customHeight="1" x14ac:dyDescent="0.25">
      <c r="D236" s="65"/>
      <c r="E236" s="65"/>
      <c r="F236" s="65"/>
      <c r="G236" s="65"/>
      <c r="I236" s="65"/>
      <c r="J236" s="65"/>
      <c r="K236" s="65"/>
      <c r="L236" s="65"/>
      <c r="N236" s="65"/>
      <c r="O236" s="65"/>
      <c r="P236" s="65"/>
      <c r="Q236" s="65"/>
      <c r="S236" s="186"/>
      <c r="T236" s="186"/>
      <c r="V236" s="186"/>
      <c r="W236" s="186"/>
      <c r="Y236" s="186"/>
      <c r="Z236" s="186"/>
      <c r="AB236" s="186"/>
      <c r="AC236" s="186"/>
    </row>
    <row r="237" spans="2:30" ht="15.75" customHeight="1" x14ac:dyDescent="0.25">
      <c r="B237" s="63" t="s">
        <v>155</v>
      </c>
      <c r="D237" s="65"/>
      <c r="E237" s="65"/>
      <c r="F237" s="65"/>
      <c r="G237" s="65"/>
      <c r="I237" s="65"/>
      <c r="J237" s="65"/>
      <c r="K237" s="65"/>
      <c r="L237" s="65"/>
      <c r="N237" s="65"/>
      <c r="O237" s="65"/>
      <c r="P237" s="65"/>
      <c r="Q237" s="65"/>
      <c r="S237" s="186"/>
      <c r="T237" s="186"/>
      <c r="V237" s="186"/>
      <c r="W237" s="186"/>
      <c r="Y237" s="186"/>
      <c r="Z237" s="186"/>
      <c r="AB237" s="186"/>
      <c r="AC237" s="186"/>
    </row>
    <row r="238" spans="2:30" ht="15.75" customHeight="1" x14ac:dyDescent="0.25">
      <c r="B238" s="63" t="s">
        <v>156</v>
      </c>
      <c r="D238" s="125">
        <v>555.20000000000005</v>
      </c>
      <c r="E238" s="125">
        <v>516.9</v>
      </c>
      <c r="F238" s="125"/>
      <c r="G238" s="125"/>
      <c r="I238" s="125">
        <v>535.82089899999994</v>
      </c>
      <c r="J238" s="125">
        <v>354.68900000000002</v>
      </c>
      <c r="K238" s="125">
        <v>273.03944000000007</v>
      </c>
      <c r="L238" s="125">
        <v>483.7</v>
      </c>
      <c r="N238" s="125">
        <v>301.77752100000009</v>
      </c>
      <c r="O238" s="125">
        <v>306.55799999999999</v>
      </c>
      <c r="P238" s="125">
        <v>388.38883999999996</v>
      </c>
      <c r="Q238" s="125">
        <v>543.78300000000002</v>
      </c>
      <c r="S238" s="181">
        <f t="shared" ref="S238:T244" si="222">SUMIFS($C238:$R238,$C$7:$R$7,S$7,$C$6:$R$6,S$6)</f>
        <v>516.9</v>
      </c>
      <c r="T238" s="181">
        <f t="shared" si="222"/>
        <v>354.68900000000002</v>
      </c>
      <c r="V238" s="181">
        <f t="shared" ref="V238:V244" si="223">+S238</f>
        <v>516.9</v>
      </c>
      <c r="W238" s="181">
        <f t="shared" ref="W238:W244" si="224">+T238</f>
        <v>354.68900000000002</v>
      </c>
      <c r="Y238" s="181">
        <f t="shared" ref="Y238:Z244" si="225">SUMIFS($C238:$R238,$C$7:$R$7,VALUE(RIGHT(Y$7,4)),$C$6:$R$6,Y$6)</f>
        <v>516.9</v>
      </c>
      <c r="Z238" s="181">
        <f t="shared" si="225"/>
        <v>354.68900000000002</v>
      </c>
      <c r="AB238" s="181">
        <f t="shared" ref="AB238:AC244" si="226">SUMIFS($C238:$R238,$C$7:$R$7,AB$7,$C$6:$R$6,AB$6)</f>
        <v>483.7</v>
      </c>
      <c r="AC238" s="181">
        <f t="shared" si="226"/>
        <v>543.78300000000002</v>
      </c>
    </row>
    <row r="239" spans="2:30" ht="15.75" customHeight="1" x14ac:dyDescent="0.25">
      <c r="B239" s="63" t="s">
        <v>157</v>
      </c>
      <c r="D239" s="125">
        <v>23.4</v>
      </c>
      <c r="E239" s="125">
        <v>21.7</v>
      </c>
      <c r="F239" s="125"/>
      <c r="G239" s="125"/>
      <c r="I239" s="125">
        <v>19.639427000000001</v>
      </c>
      <c r="J239" s="125">
        <v>24.655999999999999</v>
      </c>
      <c r="K239" s="125">
        <v>22.987275</v>
      </c>
      <c r="L239" s="125">
        <v>18</v>
      </c>
      <c r="N239" s="125">
        <v>20.030768999999999</v>
      </c>
      <c r="O239" s="125">
        <v>18.294</v>
      </c>
      <c r="P239" s="125">
        <v>22.229344000000001</v>
      </c>
      <c r="Q239" s="125">
        <v>13.768000000000001</v>
      </c>
      <c r="S239" s="181">
        <f t="shared" si="222"/>
        <v>21.7</v>
      </c>
      <c r="T239" s="181">
        <f t="shared" si="222"/>
        <v>24.655999999999999</v>
      </c>
      <c r="V239" s="181">
        <f t="shared" si="223"/>
        <v>21.7</v>
      </c>
      <c r="W239" s="181">
        <f t="shared" si="224"/>
        <v>24.655999999999999</v>
      </c>
      <c r="Y239" s="181">
        <f t="shared" si="225"/>
        <v>21.7</v>
      </c>
      <c r="Z239" s="181">
        <f t="shared" si="225"/>
        <v>24.655999999999999</v>
      </c>
      <c r="AB239" s="181">
        <f t="shared" si="226"/>
        <v>18</v>
      </c>
      <c r="AC239" s="181">
        <f t="shared" si="226"/>
        <v>13.768000000000001</v>
      </c>
    </row>
    <row r="240" spans="2:30" ht="15.75" customHeight="1" x14ac:dyDescent="0.25">
      <c r="B240" s="63" t="s">
        <v>120</v>
      </c>
      <c r="D240" s="125">
        <v>0</v>
      </c>
      <c r="E240" s="125">
        <v>11.8</v>
      </c>
      <c r="F240" s="125"/>
      <c r="G240" s="125"/>
      <c r="I240" s="125">
        <v>0.74705699999999997</v>
      </c>
      <c r="J240" s="125">
        <v>0</v>
      </c>
      <c r="K240" s="125">
        <v>42.369244999999999</v>
      </c>
      <c r="L240" s="125">
        <v>1.7</v>
      </c>
      <c r="N240" s="125">
        <v>0.35720499999999999</v>
      </c>
      <c r="O240" s="125">
        <v>0.21</v>
      </c>
      <c r="P240" s="125">
        <v>2.5047030000000001</v>
      </c>
      <c r="Q240" s="125">
        <v>48.165999999999997</v>
      </c>
      <c r="S240" s="181">
        <f t="shared" si="222"/>
        <v>11.8</v>
      </c>
      <c r="T240" s="181">
        <f t="shared" si="222"/>
        <v>0</v>
      </c>
      <c r="V240" s="181">
        <f t="shared" si="223"/>
        <v>11.8</v>
      </c>
      <c r="W240" s="181">
        <f t="shared" si="224"/>
        <v>0</v>
      </c>
      <c r="Y240" s="181">
        <f t="shared" si="225"/>
        <v>11.8</v>
      </c>
      <c r="Z240" s="181">
        <f t="shared" si="225"/>
        <v>0</v>
      </c>
      <c r="AB240" s="181">
        <f t="shared" si="226"/>
        <v>1.7</v>
      </c>
      <c r="AC240" s="181">
        <f t="shared" si="226"/>
        <v>48.165999999999997</v>
      </c>
    </row>
    <row r="241" spans="2:30" ht="15.75" customHeight="1" x14ac:dyDescent="0.25">
      <c r="B241" s="63" t="s">
        <v>159</v>
      </c>
      <c r="D241" s="65">
        <v>14.2</v>
      </c>
      <c r="E241" s="65">
        <v>9</v>
      </c>
      <c r="F241" s="65"/>
      <c r="G241" s="65"/>
      <c r="I241" s="65">
        <v>25.20899</v>
      </c>
      <c r="J241" s="65">
        <v>7.4489999999999998</v>
      </c>
      <c r="K241" s="65">
        <v>8.9679660000000005</v>
      </c>
      <c r="L241" s="65">
        <v>8.8000000000000007</v>
      </c>
      <c r="N241" s="65">
        <v>45.706327999999999</v>
      </c>
      <c r="O241" s="65">
        <v>42.716999999999999</v>
      </c>
      <c r="P241" s="65">
        <v>38.546816</v>
      </c>
      <c r="Q241" s="65">
        <v>22.242999999999999</v>
      </c>
      <c r="S241" s="186">
        <f t="shared" si="222"/>
        <v>9</v>
      </c>
      <c r="T241" s="186">
        <f t="shared" si="222"/>
        <v>7.4489999999999998</v>
      </c>
      <c r="V241" s="181">
        <f t="shared" si="223"/>
        <v>9</v>
      </c>
      <c r="W241" s="181">
        <f t="shared" si="224"/>
        <v>7.4489999999999998</v>
      </c>
      <c r="Y241" s="181">
        <f t="shared" si="225"/>
        <v>9</v>
      </c>
      <c r="Z241" s="181">
        <f t="shared" si="225"/>
        <v>7.4489999999999998</v>
      </c>
      <c r="AB241" s="181">
        <f t="shared" si="226"/>
        <v>8.8000000000000007</v>
      </c>
      <c r="AC241" s="181">
        <f t="shared" si="226"/>
        <v>22.242999999999999</v>
      </c>
    </row>
    <row r="242" spans="2:30" ht="15.75" customHeight="1" x14ac:dyDescent="0.25">
      <c r="B242" s="63" t="s">
        <v>160</v>
      </c>
      <c r="D242" s="65">
        <v>91.2</v>
      </c>
      <c r="E242" s="65">
        <v>259.89999999999998</v>
      </c>
      <c r="F242" s="65"/>
      <c r="G242" s="65"/>
      <c r="I242" s="65">
        <f>728.743791-(I218+I233)</f>
        <v>129.21379100000001</v>
      </c>
      <c r="J242" s="65">
        <f>852.56-(J218+J233)</f>
        <v>266.33399999999995</v>
      </c>
      <c r="K242" s="65">
        <f>785.569629-(K218+K233)</f>
        <v>265.23362899999995</v>
      </c>
      <c r="L242" s="65">
        <v>133.5</v>
      </c>
      <c r="N242" s="65">
        <v>93.617637999999943</v>
      </c>
      <c r="O242" s="65">
        <v>230.45699999999999</v>
      </c>
      <c r="P242" s="65">
        <v>287.02065899999991</v>
      </c>
      <c r="Q242" s="65">
        <v>101.87</v>
      </c>
      <c r="S242" s="186">
        <f t="shared" si="222"/>
        <v>259.89999999999998</v>
      </c>
      <c r="T242" s="186">
        <f t="shared" si="222"/>
        <v>266.33399999999995</v>
      </c>
      <c r="V242" s="181">
        <f t="shared" si="223"/>
        <v>259.89999999999998</v>
      </c>
      <c r="W242" s="181">
        <f t="shared" si="224"/>
        <v>266.33399999999995</v>
      </c>
      <c r="Y242" s="181">
        <f t="shared" si="225"/>
        <v>259.89999999999998</v>
      </c>
      <c r="Z242" s="181">
        <f t="shared" si="225"/>
        <v>266.33399999999995</v>
      </c>
      <c r="AB242" s="181">
        <f t="shared" si="226"/>
        <v>133.5</v>
      </c>
      <c r="AC242" s="181">
        <f t="shared" si="226"/>
        <v>101.87</v>
      </c>
    </row>
    <row r="243" spans="2:30" ht="15.75" customHeight="1" x14ac:dyDescent="0.25">
      <c r="B243" s="63" t="s">
        <v>161</v>
      </c>
      <c r="D243" s="65">
        <v>728.4</v>
      </c>
      <c r="E243" s="65">
        <v>751.7</v>
      </c>
      <c r="F243" s="65"/>
      <c r="G243" s="65"/>
      <c r="I243" s="65">
        <v>502.03549699999996</v>
      </c>
      <c r="J243" s="65">
        <v>745.54700000000003</v>
      </c>
      <c r="K243" s="65">
        <v>1099.088287</v>
      </c>
      <c r="L243" s="65">
        <v>831.8</v>
      </c>
      <c r="N243" s="65">
        <v>604.29339900000002</v>
      </c>
      <c r="O243" s="65">
        <v>653.16700000000003</v>
      </c>
      <c r="P243" s="65">
        <v>719.31253099999992</v>
      </c>
      <c r="Q243" s="65">
        <v>689.56299999999999</v>
      </c>
      <c r="S243" s="186">
        <f t="shared" si="222"/>
        <v>751.7</v>
      </c>
      <c r="T243" s="186">
        <f t="shared" si="222"/>
        <v>745.54700000000003</v>
      </c>
      <c r="V243" s="181">
        <f t="shared" si="223"/>
        <v>751.7</v>
      </c>
      <c r="W243" s="181">
        <f t="shared" si="224"/>
        <v>745.54700000000003</v>
      </c>
      <c r="Y243" s="181">
        <f t="shared" si="225"/>
        <v>751.7</v>
      </c>
      <c r="Z243" s="181">
        <f t="shared" si="225"/>
        <v>745.54700000000003</v>
      </c>
      <c r="AB243" s="181">
        <f t="shared" si="226"/>
        <v>831.8</v>
      </c>
      <c r="AC243" s="181">
        <f t="shared" si="226"/>
        <v>689.56299999999999</v>
      </c>
    </row>
    <row r="244" spans="2:30" ht="15.75" customHeight="1" x14ac:dyDescent="0.25">
      <c r="B244" s="63" t="s">
        <v>163</v>
      </c>
      <c r="D244" s="65">
        <v>448.70799999999997</v>
      </c>
      <c r="E244" s="65">
        <v>486.58299999999997</v>
      </c>
      <c r="F244" s="65"/>
      <c r="G244" s="65"/>
      <c r="I244" s="65">
        <v>226.8</v>
      </c>
      <c r="J244" s="65">
        <v>226.8</v>
      </c>
      <c r="K244" s="65">
        <v>226.8</v>
      </c>
      <c r="L244" s="65">
        <v>419.2</v>
      </c>
      <c r="N244" s="65">
        <v>350</v>
      </c>
      <c r="O244" s="65">
        <v>350</v>
      </c>
      <c r="P244" s="65">
        <v>350</v>
      </c>
      <c r="Q244" s="65">
        <v>351.8</v>
      </c>
      <c r="S244" s="186">
        <f t="shared" si="222"/>
        <v>486.58299999999997</v>
      </c>
      <c r="T244" s="186">
        <f t="shared" si="222"/>
        <v>226.8</v>
      </c>
      <c r="V244" s="181">
        <f t="shared" si="223"/>
        <v>486.58299999999997</v>
      </c>
      <c r="W244" s="181">
        <f t="shared" si="224"/>
        <v>226.8</v>
      </c>
      <c r="Y244" s="181">
        <f t="shared" si="225"/>
        <v>486.58299999999997</v>
      </c>
      <c r="Z244" s="181">
        <f t="shared" si="225"/>
        <v>226.8</v>
      </c>
      <c r="AB244" s="181">
        <f t="shared" si="226"/>
        <v>419.2</v>
      </c>
      <c r="AC244" s="181">
        <f t="shared" si="226"/>
        <v>351.8</v>
      </c>
    </row>
    <row r="245" spans="2:30" ht="15.75" customHeight="1" x14ac:dyDescent="0.25">
      <c r="B245" s="141" t="s">
        <v>164</v>
      </c>
      <c r="C245" s="8"/>
      <c r="D245" s="142">
        <f t="shared" ref="D245:G245" si="227">SUM(D238:D244)</f>
        <v>1861.1080000000002</v>
      </c>
      <c r="E245" s="142">
        <f t="shared" si="227"/>
        <v>2057.5830000000001</v>
      </c>
      <c r="F245" s="142">
        <f t="shared" si="227"/>
        <v>0</v>
      </c>
      <c r="G245" s="142">
        <f t="shared" si="227"/>
        <v>0</v>
      </c>
      <c r="H245" s="8"/>
      <c r="I245" s="142">
        <f>SUM(I238:I244)</f>
        <v>1439.465661</v>
      </c>
      <c r="J245" s="142">
        <f>SUM(J238:J244)</f>
        <v>1625.4749999999999</v>
      </c>
      <c r="K245" s="142">
        <f>SUM(K238:K244)</f>
        <v>1938.485842</v>
      </c>
      <c r="L245" s="142">
        <f>SUM(L238:L244)</f>
        <v>1896.7</v>
      </c>
      <c r="M245" s="8"/>
      <c r="N245" s="142">
        <f>SUM(N238:N244)</f>
        <v>1415.78286</v>
      </c>
      <c r="O245" s="142">
        <f>SUM(O238:O244)</f>
        <v>1601.4029999999998</v>
      </c>
      <c r="P245" s="142">
        <f>SUM(P238:P244)</f>
        <v>1808.0028929999999</v>
      </c>
      <c r="Q245" s="142">
        <f>SUM(Q238:Q244)</f>
        <v>1771.193</v>
      </c>
      <c r="R245" s="8"/>
      <c r="S245" s="193">
        <f t="shared" ref="S245:AC245" si="228">SUM(S238:S244)</f>
        <v>2057.5830000000001</v>
      </c>
      <c r="T245" s="193">
        <f t="shared" si="228"/>
        <v>1625.4749999999999</v>
      </c>
      <c r="U245" s="200"/>
      <c r="V245" s="193">
        <f t="shared" si="228"/>
        <v>2057.5830000000001</v>
      </c>
      <c r="W245" s="193">
        <f t="shared" si="228"/>
        <v>1625.4749999999999</v>
      </c>
      <c r="X245" s="200"/>
      <c r="Y245" s="193">
        <f t="shared" si="228"/>
        <v>2057.5830000000001</v>
      </c>
      <c r="Z245" s="193">
        <f t="shared" ref="Z245" si="229">SUM(Z238:Z244)</f>
        <v>1625.4749999999999</v>
      </c>
      <c r="AA245" s="200"/>
      <c r="AB245" s="193">
        <f t="shared" si="228"/>
        <v>1896.7</v>
      </c>
      <c r="AC245" s="193">
        <f t="shared" si="228"/>
        <v>1771.193</v>
      </c>
      <c r="AD245" s="8"/>
    </row>
    <row r="246" spans="2:30" ht="15.75" customHeight="1" x14ac:dyDescent="0.25">
      <c r="D246" s="65"/>
      <c r="E246" s="65"/>
      <c r="F246" s="65"/>
      <c r="G246" s="65"/>
      <c r="I246" s="65"/>
      <c r="J246" s="65"/>
      <c r="K246" s="65"/>
      <c r="L246" s="65"/>
      <c r="N246" s="65"/>
      <c r="O246" s="65"/>
      <c r="P246" s="65"/>
      <c r="Q246" s="65"/>
      <c r="S246" s="186"/>
      <c r="T246" s="186"/>
      <c r="V246" s="186"/>
      <c r="W246" s="186"/>
      <c r="Y246" s="186"/>
      <c r="Z246" s="186"/>
      <c r="AB246" s="186"/>
      <c r="AC246" s="186"/>
    </row>
    <row r="247" spans="2:30" ht="15.75" customHeight="1" x14ac:dyDescent="0.25">
      <c r="B247" s="141" t="s">
        <v>165</v>
      </c>
      <c r="C247" s="8"/>
      <c r="D247" s="142">
        <f t="shared" ref="D247:G247" si="230">D235+D245</f>
        <v>3703.808</v>
      </c>
      <c r="E247" s="142">
        <f t="shared" si="230"/>
        <v>3141.183</v>
      </c>
      <c r="F247" s="142">
        <f t="shared" si="230"/>
        <v>0</v>
      </c>
      <c r="G247" s="142">
        <f t="shared" si="230"/>
        <v>0</v>
      </c>
      <c r="H247" s="8"/>
      <c r="I247" s="142">
        <f>I235+I245</f>
        <v>3359.1358140000002</v>
      </c>
      <c r="J247" s="142">
        <f>J235+J245</f>
        <v>4137.0079999999998</v>
      </c>
      <c r="K247" s="142">
        <f>K235+K245</f>
        <v>3701.6788630000001</v>
      </c>
      <c r="L247" s="142">
        <f>L235+L245</f>
        <v>3450.8420000000001</v>
      </c>
      <c r="M247" s="8"/>
      <c r="N247" s="142">
        <f>N235+N245</f>
        <v>1781.06286</v>
      </c>
      <c r="O247" s="142">
        <f>O235+O245</f>
        <v>1956.5869999999998</v>
      </c>
      <c r="P247" s="142">
        <f>P235+P245</f>
        <v>2199.0408929999999</v>
      </c>
      <c r="Q247" s="142">
        <f>Q235+Q245</f>
        <v>2148.7669999999998</v>
      </c>
      <c r="R247" s="8"/>
      <c r="S247" s="193">
        <f t="shared" ref="S247:AC247" si="231">S235+S245</f>
        <v>3141.183</v>
      </c>
      <c r="T247" s="193">
        <f t="shared" si="231"/>
        <v>4137.0079999999998</v>
      </c>
      <c r="U247" s="200"/>
      <c r="V247" s="193">
        <f t="shared" si="231"/>
        <v>3141.183</v>
      </c>
      <c r="W247" s="193">
        <f t="shared" si="231"/>
        <v>4137.0079999999998</v>
      </c>
      <c r="X247" s="200"/>
      <c r="Y247" s="193">
        <f t="shared" si="231"/>
        <v>3141.183</v>
      </c>
      <c r="Z247" s="193">
        <f t="shared" ref="Z247" si="232">Z235+Z245</f>
        <v>4137.0079999999998</v>
      </c>
      <c r="AA247" s="200"/>
      <c r="AB247" s="193">
        <f t="shared" si="231"/>
        <v>3450.8420000000001</v>
      </c>
      <c r="AC247" s="193">
        <f t="shared" si="231"/>
        <v>2148.7669999999998</v>
      </c>
      <c r="AD247" s="8"/>
    </row>
    <row r="248" spans="2:30" ht="15.75" customHeight="1" x14ac:dyDescent="0.25">
      <c r="S248" s="177"/>
      <c r="T248" s="177"/>
      <c r="V248" s="177"/>
      <c r="W248" s="177"/>
      <c r="Y248" s="177"/>
      <c r="Z248" s="177"/>
      <c r="AB248" s="177"/>
      <c r="AC248" s="177"/>
    </row>
    <row r="249" spans="2:30" ht="15.75" customHeight="1" x14ac:dyDescent="0.25">
      <c r="B249" s="141" t="s">
        <v>166</v>
      </c>
      <c r="C249" s="8"/>
      <c r="D249" s="142">
        <f t="shared" ref="D249:G249" si="233">+D229+D247+D214</f>
        <v>9890.8013628627778</v>
      </c>
      <c r="E249" s="142">
        <f t="shared" si="233"/>
        <v>10345.708741289493</v>
      </c>
      <c r="F249" s="142">
        <f t="shared" si="233"/>
        <v>0</v>
      </c>
      <c r="G249" s="142">
        <f t="shared" si="233"/>
        <v>0</v>
      </c>
      <c r="H249" s="8"/>
      <c r="I249" s="142">
        <f>+I229+I247+I214</f>
        <v>10649.897445000004</v>
      </c>
      <c r="J249" s="142">
        <f>+J229+J247+J214</f>
        <v>11265.302000000005</v>
      </c>
      <c r="K249" s="142">
        <f>+K229+K247+K214</f>
        <v>10565.935949000002</v>
      </c>
      <c r="L249" s="142">
        <f>+L229+L247+L214</f>
        <v>10024.339996624485</v>
      </c>
      <c r="M249" s="8"/>
      <c r="N249" s="142">
        <f>+N229+N247+N214</f>
        <v>9632.7442280000032</v>
      </c>
      <c r="O249" s="142">
        <f>+O229+O247+O214</f>
        <v>9965.118000000004</v>
      </c>
      <c r="P249" s="142">
        <f>+P229+P247+P214</f>
        <v>10558.695514000005</v>
      </c>
      <c r="Q249" s="142">
        <f>+Q229+Q247+Q214+0.036</f>
        <v>10179.950934398879</v>
      </c>
      <c r="R249" s="8"/>
      <c r="S249" s="193">
        <f t="shared" ref="S249:AC249" si="234">+S229+S247+S214+0.036</f>
        <v>10345.772741289493</v>
      </c>
      <c r="T249" s="193">
        <f t="shared" si="234"/>
        <v>11265.366000000005</v>
      </c>
      <c r="U249" s="200"/>
      <c r="V249" s="193">
        <f t="shared" si="234"/>
        <v>10345.772741289493</v>
      </c>
      <c r="W249" s="193">
        <f t="shared" si="234"/>
        <v>11265.366000000005</v>
      </c>
      <c r="X249" s="200"/>
      <c r="Y249" s="193">
        <f t="shared" si="234"/>
        <v>10345.772741289493</v>
      </c>
      <c r="Z249" s="193">
        <f t="shared" ref="Z249" si="235">+Z229+Z247+Z214+0.036</f>
        <v>11265.366000000005</v>
      </c>
      <c r="AA249" s="200"/>
      <c r="AB249" s="193">
        <f t="shared" si="234"/>
        <v>10024.403996624485</v>
      </c>
      <c r="AC249" s="193">
        <f t="shared" si="234"/>
        <v>10179.950934398879</v>
      </c>
      <c r="AD249" s="8"/>
    </row>
    <row r="250" spans="2:30" ht="15.75" customHeight="1" x14ac:dyDescent="0.25">
      <c r="D250" s="8"/>
      <c r="E250" s="8"/>
      <c r="F250" s="8"/>
      <c r="G250" s="8"/>
      <c r="I250" s="8"/>
      <c r="J250" s="8"/>
      <c r="K250" s="8"/>
      <c r="L250" s="8"/>
      <c r="N250" s="8"/>
      <c r="O250" s="8"/>
      <c r="P250" s="8"/>
      <c r="Q250" s="8"/>
      <c r="S250" s="184"/>
      <c r="T250" s="184"/>
      <c r="V250" s="184"/>
      <c r="W250" s="184"/>
      <c r="Y250" s="184"/>
      <c r="Z250" s="184"/>
      <c r="AB250" s="184"/>
      <c r="AC250" s="184"/>
    </row>
    <row r="251" spans="2:30" ht="15.75" customHeight="1" x14ac:dyDescent="0.25">
      <c r="D251" s="8"/>
      <c r="E251" s="8"/>
      <c r="I251" s="8"/>
      <c r="J251" s="8"/>
      <c r="S251" s="177"/>
      <c r="T251" s="177"/>
      <c r="V251" s="177"/>
      <c r="W251" s="177"/>
      <c r="Y251" s="177"/>
      <c r="Z251" s="177"/>
      <c r="AB251" s="177"/>
      <c r="AC251" s="177"/>
    </row>
    <row r="252" spans="2:30" ht="22.5" customHeight="1" x14ac:dyDescent="0.4">
      <c r="B252" s="66" t="s">
        <v>167</v>
      </c>
      <c r="D252" s="151"/>
      <c r="E252" s="151"/>
      <c r="F252" s="151"/>
      <c r="G252" s="151"/>
      <c r="I252" s="151"/>
      <c r="J252" s="151"/>
      <c r="K252" s="151"/>
      <c r="L252" s="151"/>
      <c r="N252" s="151"/>
      <c r="S252" s="195"/>
      <c r="T252" s="195"/>
      <c r="V252" s="195"/>
      <c r="W252" s="195"/>
      <c r="Y252" s="195"/>
      <c r="Z252" s="195"/>
      <c r="AB252" s="195"/>
      <c r="AC252" s="195"/>
    </row>
    <row r="253" spans="2:30" ht="15.75" customHeight="1" x14ac:dyDescent="0.25">
      <c r="D253" s="152"/>
      <c r="E253" s="152"/>
      <c r="I253" s="152"/>
      <c r="J253" s="152"/>
      <c r="S253" s="177"/>
      <c r="T253" s="177"/>
      <c r="V253" s="177"/>
      <c r="W253" s="177"/>
      <c r="Y253" s="177"/>
      <c r="Z253" s="177"/>
      <c r="AB253" s="177"/>
      <c r="AC253" s="177"/>
    </row>
    <row r="254" spans="2:30" ht="15.75" customHeight="1" x14ac:dyDescent="0.25">
      <c r="B254" s="63" t="s">
        <v>168</v>
      </c>
      <c r="S254" s="177"/>
      <c r="T254" s="177"/>
      <c r="V254" s="177"/>
      <c r="W254" s="177"/>
      <c r="Y254" s="177"/>
      <c r="Z254" s="177"/>
      <c r="AB254" s="177"/>
      <c r="AC254" s="177"/>
    </row>
    <row r="255" spans="2:30" ht="15.75" customHeight="1" x14ac:dyDescent="0.25">
      <c r="B255" s="63" t="s">
        <v>169</v>
      </c>
      <c r="D255" s="65">
        <v>-281.19493665273609</v>
      </c>
      <c r="E255" s="65">
        <v>-240.9400633472639</v>
      </c>
      <c r="F255" s="65"/>
      <c r="G255" s="65"/>
      <c r="I255" s="65">
        <v>-113.44899999999954</v>
      </c>
      <c r="J255" s="65">
        <v>67.329999999999103</v>
      </c>
      <c r="K255" s="65">
        <v>-19.651000000001005</v>
      </c>
      <c r="L255" s="65">
        <v>-382.92357531033679</v>
      </c>
      <c r="N255" s="65">
        <v>-303.1350000000001</v>
      </c>
      <c r="O255" s="65">
        <v>-122.17299999999975</v>
      </c>
      <c r="P255" s="65">
        <v>541.02500000000111</v>
      </c>
      <c r="Q255" s="65">
        <v>-109.82417105572506</v>
      </c>
      <c r="S255" s="186">
        <f t="shared" ref="S255:T257" si="236">SUMIFS($C255:$R255,$C$7:$R$7,S$7,$C$6:$R$6,S$6)</f>
        <v>-240.9400633472639</v>
      </c>
      <c r="T255" s="186">
        <f t="shared" si="236"/>
        <v>67.329999999999103</v>
      </c>
      <c r="V255" s="181">
        <f t="shared" ref="V255:W257" si="237">SUMIF($C$1:$R$1,V$1,$C255:$R255)</f>
        <v>-924.70957531033775</v>
      </c>
      <c r="W255" s="181">
        <f t="shared" si="237"/>
        <v>385.08182894427563</v>
      </c>
      <c r="Y255" s="181">
        <f>SUMIFS($C255:$R255,$C$7:$R$7,VALUE(RIGHT(Y$7,4)),$C$1:$R$1,Y$1)</f>
        <v>-522.13499999999999</v>
      </c>
      <c r="Z255" s="181">
        <f>SUMIFS($C255:$R255,$C$7:$R$7,VALUE(RIGHT(Z$7,4)),$C$1:$R$1,Z$1)</f>
        <v>-46.11900000000044</v>
      </c>
      <c r="AB255" s="181">
        <f t="shared" ref="AB255:AC257" si="238">SUMIF($C$7:$R$7,AB$7,$C255:$R255)</f>
        <v>-448.69357531033825</v>
      </c>
      <c r="AC255" s="181">
        <f t="shared" si="238"/>
        <v>5.8928289442761752</v>
      </c>
    </row>
    <row r="256" spans="2:30" ht="15.75" customHeight="1" x14ac:dyDescent="0.25">
      <c r="B256" s="63" t="s">
        <v>170</v>
      </c>
      <c r="D256" s="65">
        <v>95.872</v>
      </c>
      <c r="E256" s="65">
        <v>259.30500000000001</v>
      </c>
      <c r="F256" s="65"/>
      <c r="G256" s="65"/>
      <c r="I256" s="65">
        <v>171.73099999999999</v>
      </c>
      <c r="J256" s="65">
        <v>17.108000000000004</v>
      </c>
      <c r="K256" s="65">
        <v>185.51199999999994</v>
      </c>
      <c r="L256" s="65">
        <v>532.63800000000015</v>
      </c>
      <c r="N256" s="65">
        <v>154.08099999999999</v>
      </c>
      <c r="O256" s="65">
        <v>405.78300000000002</v>
      </c>
      <c r="P256" s="65">
        <v>128.58299999999997</v>
      </c>
      <c r="Q256" s="65">
        <v>-374.46100000000001</v>
      </c>
      <c r="S256" s="186">
        <f t="shared" si="236"/>
        <v>259.30500000000001</v>
      </c>
      <c r="T256" s="186">
        <f t="shared" si="236"/>
        <v>17.108000000000004</v>
      </c>
      <c r="V256" s="181">
        <f t="shared" si="237"/>
        <v>1073.3270000000002</v>
      </c>
      <c r="W256" s="181">
        <f t="shared" si="237"/>
        <v>-57.039000000000044</v>
      </c>
      <c r="Y256" s="181">
        <f t="shared" ref="Y256:Z257" si="239">SUMIFS($C256:$R256,$C$7:$R$7,VALUE(RIGHT(Y$7,4)),$C$1:$R$1,Y$1)</f>
        <v>355.17700000000002</v>
      </c>
      <c r="Z256" s="181">
        <f t="shared" si="239"/>
        <v>188.839</v>
      </c>
      <c r="AB256" s="181">
        <f t="shared" si="238"/>
        <v>906.98900000000003</v>
      </c>
      <c r="AC256" s="181">
        <f t="shared" si="238"/>
        <v>313.98599999999999</v>
      </c>
    </row>
    <row r="257" spans="2:29" ht="15.75" customHeight="1" x14ac:dyDescent="0.25">
      <c r="B257" s="63" t="s">
        <v>171</v>
      </c>
      <c r="D257" s="65">
        <v>-3.8969999999999998</v>
      </c>
      <c r="E257" s="65">
        <v>-6.9019999999999992</v>
      </c>
      <c r="F257" s="65"/>
      <c r="G257" s="65"/>
      <c r="I257" s="65">
        <v>-1.492</v>
      </c>
      <c r="J257" s="65">
        <v>-3.9539999999999997</v>
      </c>
      <c r="K257" s="65">
        <v>-2.4469999999999992</v>
      </c>
      <c r="L257" s="65">
        <v>-13.000999999999999</v>
      </c>
      <c r="N257" s="63">
        <v>8.9710000000000001</v>
      </c>
      <c r="O257" s="65">
        <v>-7.8920000000000003</v>
      </c>
      <c r="P257" s="65">
        <v>-10.011000000000001</v>
      </c>
      <c r="Q257" s="65">
        <v>-9.8979999999999961</v>
      </c>
      <c r="S257" s="186">
        <f t="shared" si="236"/>
        <v>-6.9019999999999992</v>
      </c>
      <c r="T257" s="186">
        <f t="shared" si="236"/>
        <v>-3.9539999999999997</v>
      </c>
      <c r="V257" s="181">
        <f t="shared" si="237"/>
        <v>-26.247</v>
      </c>
      <c r="W257" s="181">
        <f t="shared" si="237"/>
        <v>-25.354999999999997</v>
      </c>
      <c r="Y257" s="181">
        <f t="shared" si="239"/>
        <v>-10.798999999999999</v>
      </c>
      <c r="Z257" s="181">
        <f t="shared" si="239"/>
        <v>-5.4459999999999997</v>
      </c>
      <c r="AB257" s="181">
        <f t="shared" si="238"/>
        <v>-20.893999999999998</v>
      </c>
      <c r="AC257" s="181">
        <f t="shared" si="238"/>
        <v>-18.829999999999998</v>
      </c>
    </row>
    <row r="258" spans="2:29" ht="31.5" x14ac:dyDescent="0.25">
      <c r="B258" s="153" t="s">
        <v>237</v>
      </c>
      <c r="D258" s="142">
        <f>SUM(D255:D257)</f>
        <v>-189.21993665273607</v>
      </c>
      <c r="E258" s="142">
        <f>SUM(E255:E257)</f>
        <v>11.462936652736106</v>
      </c>
      <c r="F258" s="142">
        <f>SUM(F255:F257)</f>
        <v>0</v>
      </c>
      <c r="G258" s="142">
        <f>SUM(G255:G257)</f>
        <v>0</v>
      </c>
      <c r="I258" s="142">
        <f>SUM(I255:I257)</f>
        <v>56.790000000000454</v>
      </c>
      <c r="J258" s="142">
        <f>SUM(J255:J257)</f>
        <v>80.483999999999114</v>
      </c>
      <c r="K258" s="142">
        <f>SUM(K255:K257)</f>
        <v>163.41399999999894</v>
      </c>
      <c r="L258" s="142">
        <f>SUM(L255:L257)</f>
        <v>136.71342468966336</v>
      </c>
      <c r="N258" s="142">
        <f>SUM(N255:N257)</f>
        <v>-140.08300000000011</v>
      </c>
      <c r="O258" s="142">
        <f>SUM(O255:O257)</f>
        <v>275.71800000000025</v>
      </c>
      <c r="P258" s="142">
        <f>SUM(P255:P257)</f>
        <v>659.59700000000112</v>
      </c>
      <c r="Q258" s="142">
        <f>SUM(Q255:Q257)</f>
        <v>-494.1831710557251</v>
      </c>
      <c r="S258" s="193">
        <f>SUM(S255:S257)</f>
        <v>11.462936652736106</v>
      </c>
      <c r="T258" s="193">
        <f>SUM(T255:T257)</f>
        <v>80.483999999999114</v>
      </c>
      <c r="V258" s="193">
        <f>SUM(V255:V257)</f>
        <v>122.37042468966247</v>
      </c>
      <c r="W258" s="193">
        <f>SUM(W255:W257)</f>
        <v>302.68782894427557</v>
      </c>
      <c r="Y258" s="193">
        <f>SUM(Y255:Y257)</f>
        <v>-177.75699999999998</v>
      </c>
      <c r="Z258" s="193">
        <f>SUM(Z255:Z257)</f>
        <v>137.27399999999957</v>
      </c>
      <c r="AB258" s="193">
        <f>SUM(AB255:AB257)</f>
        <v>437.40142468966178</v>
      </c>
      <c r="AC258" s="193">
        <f>SUM(AC255:AC257)</f>
        <v>301.04882894427618</v>
      </c>
    </row>
    <row r="259" spans="2:29" ht="15.75" customHeight="1" x14ac:dyDescent="0.25">
      <c r="D259" s="65"/>
      <c r="E259" s="65"/>
      <c r="F259" s="65"/>
      <c r="G259" s="65"/>
      <c r="I259" s="65"/>
      <c r="J259" s="65"/>
      <c r="K259" s="65"/>
      <c r="L259" s="65"/>
      <c r="N259" s="8"/>
      <c r="O259" s="65"/>
      <c r="P259" s="65"/>
      <c r="Q259" s="65"/>
      <c r="S259" s="184"/>
      <c r="T259" s="184"/>
      <c r="V259" s="184"/>
      <c r="W259" s="184"/>
      <c r="Y259" s="184"/>
      <c r="Z259" s="184"/>
      <c r="AB259" s="184"/>
      <c r="AC259" s="184"/>
    </row>
    <row r="260" spans="2:29" ht="15.75" customHeight="1" x14ac:dyDescent="0.25">
      <c r="B260" s="63" t="s">
        <v>174</v>
      </c>
      <c r="D260" s="65"/>
      <c r="E260" s="65"/>
      <c r="F260" s="65"/>
      <c r="G260" s="65"/>
      <c r="I260" s="65"/>
      <c r="J260" s="65"/>
      <c r="K260" s="65"/>
      <c r="L260" s="65"/>
      <c r="N260" s="8"/>
      <c r="O260" s="65"/>
      <c r="P260" s="65"/>
      <c r="Q260" s="65"/>
      <c r="S260" s="184"/>
      <c r="T260" s="184"/>
      <c r="V260" s="184"/>
      <c r="W260" s="184"/>
      <c r="Y260" s="184"/>
      <c r="Z260" s="184"/>
      <c r="AB260" s="184"/>
      <c r="AC260" s="184"/>
    </row>
    <row r="261" spans="2:29" ht="15.75" customHeight="1" x14ac:dyDescent="0.25">
      <c r="B261" s="63" t="s">
        <v>175</v>
      </c>
      <c r="D261" s="65">
        <v>-5.141</v>
      </c>
      <c r="E261" s="65">
        <v>-475.18599999999998</v>
      </c>
      <c r="F261" s="65"/>
      <c r="G261" s="65"/>
      <c r="I261" s="65">
        <v>-599.73699999999997</v>
      </c>
      <c r="J261" s="65">
        <v>-192.48300000000006</v>
      </c>
      <c r="K261" s="65">
        <v>644.47199999999998</v>
      </c>
      <c r="L261" s="65">
        <v>452.83400000000006</v>
      </c>
      <c r="N261" s="65">
        <v>76.569000000000003</v>
      </c>
      <c r="O261" s="65">
        <v>-413.69100000000003</v>
      </c>
      <c r="P261" s="65">
        <v>-191.49899999999997</v>
      </c>
      <c r="Q261" s="65">
        <v>837.64799999999991</v>
      </c>
      <c r="S261" s="186">
        <f t="shared" ref="S261:T263" si="240">SUMIFS($C261:$R261,$C$7:$R$7,S$7,$C$6:$R$6,S$6)</f>
        <v>-475.18599999999998</v>
      </c>
      <c r="T261" s="186">
        <f t="shared" si="240"/>
        <v>-192.48300000000006</v>
      </c>
      <c r="V261" s="181">
        <f t="shared" ref="V261:W263" si="241">SUMIF($C$1:$R$1,V$1,$C261:$R261)</f>
        <v>616.97900000000004</v>
      </c>
      <c r="W261" s="181">
        <f t="shared" si="241"/>
        <v>-146.07100000000014</v>
      </c>
      <c r="Y261" s="181">
        <f t="shared" ref="Y261:Z263" si="242">SUMIFS($C261:$R261,$C$7:$R$7,VALUE(RIGHT(Y$7,4)),$C$1:$R$1,Y$1)</f>
        <v>-480.327</v>
      </c>
      <c r="Z261" s="181">
        <f t="shared" si="242"/>
        <v>-792.22</v>
      </c>
      <c r="AB261" s="181">
        <f t="shared" ref="AB261:AC263" si="243">SUMIF($C$7:$R$7,AB$7,$C261:$R261)</f>
        <v>305.08600000000001</v>
      </c>
      <c r="AC261" s="181">
        <f t="shared" si="243"/>
        <v>309.02699999999993</v>
      </c>
    </row>
    <row r="262" spans="2:29" ht="15.75" customHeight="1" x14ac:dyDescent="0.25">
      <c r="B262" s="63" t="s">
        <v>33</v>
      </c>
      <c r="D262" s="65">
        <v>-671.92700000000002</v>
      </c>
      <c r="E262" s="65">
        <v>529.25400000000002</v>
      </c>
      <c r="F262" s="65"/>
      <c r="G262" s="65"/>
      <c r="I262" s="65">
        <v>-48.125</v>
      </c>
      <c r="J262" s="65">
        <v>-583.62</v>
      </c>
      <c r="K262" s="65">
        <v>208.37200000000001</v>
      </c>
      <c r="L262" s="65">
        <v>631.15800000000002</v>
      </c>
      <c r="N262" s="65">
        <v>-345.13200000000001</v>
      </c>
      <c r="O262" s="65">
        <v>-8.9089999999999918</v>
      </c>
      <c r="P262" s="65">
        <v>-482.11899999999997</v>
      </c>
      <c r="Q262" s="65">
        <v>1126.8240000000001</v>
      </c>
      <c r="S262" s="186">
        <f t="shared" si="240"/>
        <v>529.25400000000002</v>
      </c>
      <c r="T262" s="186">
        <f t="shared" si="240"/>
        <v>-583.62</v>
      </c>
      <c r="V262" s="181">
        <f t="shared" si="241"/>
        <v>696.85699999999997</v>
      </c>
      <c r="W262" s="181">
        <f t="shared" si="241"/>
        <v>12.960000000000036</v>
      </c>
      <c r="Y262" s="181">
        <f t="shared" si="242"/>
        <v>-142.673</v>
      </c>
      <c r="Z262" s="181">
        <f t="shared" si="242"/>
        <v>-631.745</v>
      </c>
      <c r="AB262" s="181">
        <f t="shared" si="243"/>
        <v>207.78500000000003</v>
      </c>
      <c r="AC262" s="181">
        <f t="shared" si="243"/>
        <v>290.6640000000001</v>
      </c>
    </row>
    <row r="263" spans="2:29" ht="15.75" customHeight="1" x14ac:dyDescent="0.25">
      <c r="B263" s="63" t="s">
        <v>176</v>
      </c>
      <c r="D263" s="65">
        <v>86.686999999999998</v>
      </c>
      <c r="E263" s="65">
        <v>101.551</v>
      </c>
      <c r="F263" s="65"/>
      <c r="G263" s="65"/>
      <c r="I263" s="65">
        <v>8.2451989999999924</v>
      </c>
      <c r="J263" s="65">
        <v>151.4443</v>
      </c>
      <c r="K263" s="65">
        <v>198.98249399999997</v>
      </c>
      <c r="L263" s="65">
        <v>-257.53699299999994</v>
      </c>
      <c r="N263" s="65">
        <v>-1.4271299999999769</v>
      </c>
      <c r="O263" s="65">
        <v>95.446799999999996</v>
      </c>
      <c r="P263" s="65">
        <v>178.96802399999999</v>
      </c>
      <c r="Q263" s="65">
        <v>-73.54869400000004</v>
      </c>
      <c r="S263" s="186">
        <f t="shared" si="240"/>
        <v>101.551</v>
      </c>
      <c r="T263" s="186">
        <f t="shared" si="240"/>
        <v>151.4443</v>
      </c>
      <c r="V263" s="181">
        <f t="shared" si="241"/>
        <v>129.68350100000004</v>
      </c>
      <c r="W263" s="181">
        <f t="shared" si="241"/>
        <v>265.1088289999999</v>
      </c>
      <c r="Y263" s="181">
        <f t="shared" si="242"/>
        <v>188.238</v>
      </c>
      <c r="Z263" s="181">
        <f t="shared" si="242"/>
        <v>159.68949899999998</v>
      </c>
      <c r="AB263" s="181">
        <f t="shared" si="243"/>
        <v>101.13499999999999</v>
      </c>
      <c r="AC263" s="181">
        <f t="shared" si="243"/>
        <v>199.43899999999999</v>
      </c>
    </row>
    <row r="264" spans="2:29" ht="15.75" customHeight="1" x14ac:dyDescent="0.25">
      <c r="B264" s="144" t="s">
        <v>173</v>
      </c>
      <c r="D264" s="142">
        <f>SUM(D261:D263)</f>
        <v>-590.38099999999997</v>
      </c>
      <c r="E264" s="142">
        <f>SUM(E261:E263)</f>
        <v>155.61900000000003</v>
      </c>
      <c r="F264" s="142">
        <f>SUM(F261:F263)</f>
        <v>0</v>
      </c>
      <c r="G264" s="142">
        <f>SUM(G261:G263)</f>
        <v>0</v>
      </c>
      <c r="I264" s="142">
        <f>SUM(I261:I263)</f>
        <v>-639.61680100000001</v>
      </c>
      <c r="J264" s="142">
        <f>SUM(J261:J263)</f>
        <v>-624.65870000000007</v>
      </c>
      <c r="K264" s="142">
        <f>SUM(K261:K263)</f>
        <v>1051.8264939999999</v>
      </c>
      <c r="L264" s="142">
        <f>SUM(L261:L263)</f>
        <v>826.45500700000025</v>
      </c>
      <c r="N264" s="142">
        <f>SUM(N261:N263)</f>
        <v>-269.99012999999997</v>
      </c>
      <c r="O264" s="142">
        <f>SUM(O261:O263)</f>
        <v>-327.15320000000003</v>
      </c>
      <c r="P264" s="142">
        <f>SUM(P261:P263)</f>
        <v>-494.64997599999992</v>
      </c>
      <c r="Q264" s="142">
        <f>SUM(Q261:Q263)</f>
        <v>1890.9233059999999</v>
      </c>
      <c r="S264" s="193">
        <f t="shared" ref="S264:T264" si="244">SUM(S261:S263)</f>
        <v>155.61900000000003</v>
      </c>
      <c r="T264" s="193">
        <f t="shared" si="244"/>
        <v>-624.65870000000007</v>
      </c>
      <c r="V264" s="193">
        <f t="shared" ref="V264:W264" si="245">SUM(V261:V263)</f>
        <v>1443.519501</v>
      </c>
      <c r="W264" s="193">
        <f t="shared" si="245"/>
        <v>131.9978289999998</v>
      </c>
      <c r="Y264" s="193">
        <f t="shared" ref="Y264:AC264" si="246">SUM(Y261:Y263)</f>
        <v>-434.762</v>
      </c>
      <c r="Z264" s="193">
        <f t="shared" ref="Z264" si="247">SUM(Z261:Z263)</f>
        <v>-1264.2755010000001</v>
      </c>
      <c r="AB264" s="193">
        <f t="shared" si="246"/>
        <v>614.00600000000009</v>
      </c>
      <c r="AC264" s="193">
        <f t="shared" si="246"/>
        <v>799.13</v>
      </c>
    </row>
    <row r="265" spans="2:29" ht="15.75" customHeight="1" x14ac:dyDescent="0.25">
      <c r="D265" s="65"/>
      <c r="E265" s="65"/>
      <c r="F265" s="65"/>
      <c r="G265" s="65"/>
      <c r="I265" s="65"/>
      <c r="J265" s="65"/>
      <c r="K265" s="65"/>
      <c r="L265" s="65"/>
      <c r="N265" s="65"/>
      <c r="O265" s="65"/>
      <c r="P265" s="65"/>
      <c r="Q265" s="65"/>
      <c r="S265" s="186"/>
      <c r="T265" s="186"/>
      <c r="V265" s="186"/>
      <c r="W265" s="186"/>
      <c r="Y265" s="186"/>
      <c r="Z265" s="186"/>
      <c r="AB265" s="186"/>
      <c r="AC265" s="186"/>
    </row>
    <row r="266" spans="2:29" ht="15.75" customHeight="1" x14ac:dyDescent="0.25">
      <c r="B266" s="144" t="s">
        <v>46</v>
      </c>
      <c r="D266" s="142">
        <f>D258+D264</f>
        <v>-779.60093665273598</v>
      </c>
      <c r="E266" s="142">
        <f>E258+E264</f>
        <v>167.08193665273615</v>
      </c>
      <c r="F266" s="142">
        <f>F258+F264</f>
        <v>0</v>
      </c>
      <c r="G266" s="142">
        <f>G258+G264</f>
        <v>0</v>
      </c>
      <c r="I266" s="142">
        <f>I258+I264</f>
        <v>-582.82680099999959</v>
      </c>
      <c r="J266" s="142">
        <f>J258+J264</f>
        <v>-544.17470000000094</v>
      </c>
      <c r="K266" s="142">
        <f>K258+K264</f>
        <v>1215.2404939999988</v>
      </c>
      <c r="L266" s="142">
        <f>L258+L264</f>
        <v>963.16843168966363</v>
      </c>
      <c r="N266" s="142">
        <f>N258+N264</f>
        <v>-410.07313000000011</v>
      </c>
      <c r="O266" s="142">
        <f>O258+O264</f>
        <v>-51.435199999999782</v>
      </c>
      <c r="P266" s="142">
        <f>P258+P264</f>
        <v>164.94702400000119</v>
      </c>
      <c r="Q266" s="142">
        <f>Q258+Q264</f>
        <v>1396.7401349442748</v>
      </c>
      <c r="S266" s="193">
        <f t="shared" ref="S266:T266" si="248">S258+S264</f>
        <v>167.08193665273615</v>
      </c>
      <c r="T266" s="193">
        <f t="shared" si="248"/>
        <v>-544.17470000000094</v>
      </c>
      <c r="V266" s="193">
        <f t="shared" ref="V266:W266" si="249">V258+V264</f>
        <v>1565.8899256896625</v>
      </c>
      <c r="W266" s="193">
        <f t="shared" si="249"/>
        <v>434.68565794427536</v>
      </c>
      <c r="Y266" s="193">
        <f t="shared" ref="Y266:AC266" si="250">Y258+Y264</f>
        <v>-612.51900000000001</v>
      </c>
      <c r="Z266" s="193">
        <f t="shared" ref="Z266" si="251">Z258+Z264</f>
        <v>-1127.0015010000004</v>
      </c>
      <c r="AB266" s="193">
        <f t="shared" si="250"/>
        <v>1051.4074246896619</v>
      </c>
      <c r="AC266" s="193">
        <f t="shared" si="250"/>
        <v>1100.1788289442761</v>
      </c>
    </row>
    <row r="267" spans="2:29" ht="13.5" customHeight="1" x14ac:dyDescent="0.25">
      <c r="D267" s="65"/>
      <c r="E267" s="65"/>
      <c r="F267" s="65"/>
      <c r="G267" s="65"/>
      <c r="I267" s="65"/>
      <c r="J267" s="65"/>
      <c r="K267" s="65"/>
      <c r="L267" s="65"/>
      <c r="N267" s="65"/>
      <c r="O267" s="65"/>
      <c r="P267" s="65"/>
      <c r="Q267" s="65"/>
      <c r="S267" s="186"/>
      <c r="T267" s="186"/>
      <c r="V267" s="186"/>
      <c r="W267" s="186"/>
      <c r="Y267" s="186"/>
      <c r="Z267" s="186"/>
      <c r="AB267" s="186"/>
      <c r="AC267" s="186"/>
    </row>
    <row r="268" spans="2:29" ht="17.25" customHeight="1" x14ac:dyDescent="0.25">
      <c r="B268" s="63" t="s">
        <v>177</v>
      </c>
      <c r="D268" s="65"/>
      <c r="E268" s="65"/>
      <c r="F268" s="65"/>
      <c r="G268" s="65"/>
      <c r="I268" s="65"/>
      <c r="J268" s="65"/>
      <c r="K268" s="65"/>
      <c r="L268" s="65"/>
      <c r="N268" s="65"/>
      <c r="O268" s="65"/>
      <c r="P268" s="65"/>
      <c r="Q268" s="65"/>
      <c r="S268" s="186"/>
      <c r="T268" s="186"/>
      <c r="V268" s="186"/>
      <c r="W268" s="186"/>
      <c r="Y268" s="186"/>
      <c r="Z268" s="186"/>
      <c r="AB268" s="186"/>
      <c r="AC268" s="186"/>
    </row>
    <row r="269" spans="2:29" ht="16.5" customHeight="1" x14ac:dyDescent="0.25">
      <c r="B269" s="63" t="s">
        <v>178</v>
      </c>
      <c r="D269" s="125" t="s">
        <v>8</v>
      </c>
      <c r="E269" s="125" t="s">
        <v>8</v>
      </c>
      <c r="F269" s="125"/>
      <c r="G269" s="125"/>
      <c r="I269" s="125" t="s">
        <v>8</v>
      </c>
      <c r="J269" s="125">
        <v>-4.8440000000000003</v>
      </c>
      <c r="K269" s="125" t="s">
        <v>8</v>
      </c>
      <c r="L269" s="125">
        <v>-0.54099999999999948</v>
      </c>
      <c r="N269" s="125">
        <v>-2.0990000000000002</v>
      </c>
      <c r="O269" s="125">
        <v>-2.3650000000000002</v>
      </c>
      <c r="P269" s="125">
        <v>-1.6919999999999993</v>
      </c>
      <c r="Q269" s="125">
        <v>-0.86500000000000021</v>
      </c>
      <c r="S269" s="186">
        <f t="shared" ref="S269:T272" si="252">SUMIFS($C269:$R269,$C$7:$R$7,S$7,$C$6:$R$6,S$6)</f>
        <v>0</v>
      </c>
      <c r="T269" s="186">
        <f t="shared" si="252"/>
        <v>-4.8440000000000003</v>
      </c>
      <c r="V269" s="181">
        <f t="shared" ref="V269:W272" si="253">SUMIF($C$1:$R$1,V$1,$C269:$R269)</f>
        <v>-0.54099999999999948</v>
      </c>
      <c r="W269" s="181">
        <f t="shared" si="253"/>
        <v>-7.4009999999999998</v>
      </c>
      <c r="Y269" s="181">
        <f t="shared" ref="Y269:Z272" si="254">SUMIFS($C269:$R269,$C$7:$R$7,VALUE(RIGHT(Y$7,4)),$C$1:$R$1,Y$1)</f>
        <v>0</v>
      </c>
      <c r="Z269" s="181">
        <f t="shared" si="254"/>
        <v>-4.8440000000000003</v>
      </c>
      <c r="AB269" s="181">
        <f t="shared" ref="AB269:AC272" si="255">SUMIF($C$7:$R$7,AB$7,$C269:$R269)</f>
        <v>-5.3849999999999998</v>
      </c>
      <c r="AC269" s="181">
        <f t="shared" si="255"/>
        <v>-7.0209999999999999</v>
      </c>
    </row>
    <row r="270" spans="2:29" ht="15.75" customHeight="1" x14ac:dyDescent="0.25">
      <c r="B270" s="63" t="s">
        <v>179</v>
      </c>
      <c r="D270" s="125">
        <v>-78.308000000000007</v>
      </c>
      <c r="E270" s="125">
        <v>-84.123000000000005</v>
      </c>
      <c r="F270" s="125"/>
      <c r="G270" s="125"/>
      <c r="I270" s="125">
        <v>-75.625</v>
      </c>
      <c r="J270" s="125">
        <v>-48.087999999999994</v>
      </c>
      <c r="K270" s="125">
        <v>-65.419999999999987</v>
      </c>
      <c r="L270" s="125">
        <v>-168.29400000000004</v>
      </c>
      <c r="N270" s="125">
        <v>-61.151000000000003</v>
      </c>
      <c r="O270" s="125">
        <v>-70.239999999999981</v>
      </c>
      <c r="P270" s="125">
        <v>-103.79500000000002</v>
      </c>
      <c r="Q270" s="125">
        <v>-361.202</v>
      </c>
      <c r="S270" s="186">
        <f t="shared" si="252"/>
        <v>-84.123000000000005</v>
      </c>
      <c r="T270" s="186">
        <f t="shared" si="252"/>
        <v>-48.087999999999994</v>
      </c>
      <c r="V270" s="181">
        <f t="shared" si="253"/>
        <v>-396.14500000000004</v>
      </c>
      <c r="W270" s="181">
        <f t="shared" si="253"/>
        <v>-588.71</v>
      </c>
      <c r="Y270" s="181">
        <f t="shared" si="254"/>
        <v>-162.43100000000001</v>
      </c>
      <c r="Z270" s="181">
        <f t="shared" si="254"/>
        <v>-123.71299999999999</v>
      </c>
      <c r="AB270" s="181">
        <f t="shared" si="255"/>
        <v>-357.42700000000002</v>
      </c>
      <c r="AC270" s="181">
        <f t="shared" si="255"/>
        <v>-596.38800000000003</v>
      </c>
    </row>
    <row r="271" spans="2:29" ht="15.75" customHeight="1" x14ac:dyDescent="0.25">
      <c r="B271" s="63" t="s">
        <v>180</v>
      </c>
      <c r="D271" s="125">
        <v>4.9000000000000004</v>
      </c>
      <c r="E271" s="125" t="s">
        <v>8</v>
      </c>
      <c r="F271" s="125"/>
      <c r="G271" s="125"/>
      <c r="I271" s="125" t="s">
        <v>8</v>
      </c>
      <c r="J271" s="125" t="s">
        <v>8</v>
      </c>
      <c r="K271" s="125" t="s">
        <v>8</v>
      </c>
      <c r="L271" s="125" t="s">
        <v>8</v>
      </c>
      <c r="N271" s="125" t="s">
        <v>8</v>
      </c>
      <c r="O271" s="125" t="s">
        <v>8</v>
      </c>
      <c r="P271" s="125" t="s">
        <v>8</v>
      </c>
      <c r="Q271" s="125">
        <v>3.78</v>
      </c>
      <c r="S271" s="186">
        <f t="shared" si="252"/>
        <v>0</v>
      </c>
      <c r="T271" s="186">
        <f t="shared" si="252"/>
        <v>0</v>
      </c>
      <c r="V271" s="181">
        <f t="shared" si="253"/>
        <v>4.9000000000000004</v>
      </c>
      <c r="W271" s="181">
        <f t="shared" si="253"/>
        <v>3.78</v>
      </c>
      <c r="Y271" s="181">
        <f t="shared" si="254"/>
        <v>4.9000000000000004</v>
      </c>
      <c r="Z271" s="181">
        <f t="shared" si="254"/>
        <v>0</v>
      </c>
      <c r="AB271" s="181">
        <f t="shared" si="255"/>
        <v>0</v>
      </c>
      <c r="AC271" s="181">
        <f t="shared" si="255"/>
        <v>3.78</v>
      </c>
    </row>
    <row r="272" spans="2:29" ht="15.75" customHeight="1" x14ac:dyDescent="0.25">
      <c r="B272" s="63" t="s">
        <v>181</v>
      </c>
      <c r="D272" s="125" t="s">
        <v>8</v>
      </c>
      <c r="E272" s="125" t="s">
        <v>8</v>
      </c>
      <c r="F272" s="125"/>
      <c r="G272" s="125"/>
      <c r="I272" s="125" t="s">
        <v>8</v>
      </c>
      <c r="J272" s="125" t="s">
        <v>8</v>
      </c>
      <c r="K272" s="125" t="s">
        <v>8</v>
      </c>
      <c r="L272" s="125" t="s">
        <v>8</v>
      </c>
      <c r="N272" s="125" t="s">
        <v>8</v>
      </c>
      <c r="O272" s="125">
        <v>-1.905</v>
      </c>
      <c r="P272" s="125">
        <v>1.905</v>
      </c>
      <c r="Q272" s="125" t="s">
        <v>8</v>
      </c>
      <c r="S272" s="181">
        <f t="shared" si="252"/>
        <v>0</v>
      </c>
      <c r="T272" s="181">
        <f t="shared" si="252"/>
        <v>0</v>
      </c>
      <c r="V272" s="181">
        <f t="shared" si="253"/>
        <v>0</v>
      </c>
      <c r="W272" s="181">
        <f t="shared" si="253"/>
        <v>1.905</v>
      </c>
      <c r="Y272" s="181">
        <f t="shared" si="254"/>
        <v>0</v>
      </c>
      <c r="Z272" s="181">
        <f t="shared" si="254"/>
        <v>0</v>
      </c>
      <c r="AB272" s="181">
        <f t="shared" si="255"/>
        <v>0</v>
      </c>
      <c r="AC272" s="181">
        <f t="shared" si="255"/>
        <v>0</v>
      </c>
    </row>
    <row r="273" spans="2:29" ht="15.75" customHeight="1" x14ac:dyDescent="0.25">
      <c r="B273" s="144" t="s">
        <v>182</v>
      </c>
      <c r="D273" s="142">
        <f>SUM(D269:D272)</f>
        <v>-73.408000000000001</v>
      </c>
      <c r="E273" s="142">
        <f>SUM(E269:E272)</f>
        <v>-84.123000000000005</v>
      </c>
      <c r="F273" s="142">
        <f>SUM(F269:F272)</f>
        <v>0</v>
      </c>
      <c r="G273" s="142">
        <f>SUM(G269:G272)</f>
        <v>0</v>
      </c>
      <c r="I273" s="142">
        <f>SUM(I269:I272)</f>
        <v>-75.625</v>
      </c>
      <c r="J273" s="142">
        <f>SUM(J269:J272)</f>
        <v>-52.931999999999995</v>
      </c>
      <c r="K273" s="142">
        <f>SUM(K269:K272)</f>
        <v>-65.419999999999987</v>
      </c>
      <c r="L273" s="142">
        <f>SUM(L269:L272)</f>
        <v>-168.83500000000004</v>
      </c>
      <c r="N273" s="142">
        <f>SUM(N269:N272)</f>
        <v>-63.25</v>
      </c>
      <c r="O273" s="142">
        <f>SUM(O269:O272)</f>
        <v>-74.509999999999977</v>
      </c>
      <c r="P273" s="142">
        <f>SUM(P269:P272)</f>
        <v>-103.58200000000001</v>
      </c>
      <c r="Q273" s="142">
        <f>SUM(Q269:Q272)</f>
        <v>-358.28700000000003</v>
      </c>
      <c r="S273" s="193">
        <f t="shared" ref="S273:AC273" si="256">SUM(S269:S272)</f>
        <v>-84.123000000000005</v>
      </c>
      <c r="T273" s="193">
        <f t="shared" si="256"/>
        <v>-52.931999999999995</v>
      </c>
      <c r="V273" s="193">
        <f t="shared" si="256"/>
        <v>-391.78600000000006</v>
      </c>
      <c r="W273" s="193">
        <f t="shared" si="256"/>
        <v>-590.42600000000004</v>
      </c>
      <c r="Y273" s="193">
        <f t="shared" si="256"/>
        <v>-157.53100000000001</v>
      </c>
      <c r="Z273" s="193">
        <f t="shared" ref="Z273" si="257">SUM(Z269:Z272)</f>
        <v>-128.55699999999999</v>
      </c>
      <c r="AB273" s="193">
        <f t="shared" si="256"/>
        <v>-362.81200000000001</v>
      </c>
      <c r="AC273" s="193">
        <f t="shared" si="256"/>
        <v>-599.62900000000002</v>
      </c>
    </row>
    <row r="274" spans="2:29" ht="15.75" customHeight="1" x14ac:dyDescent="0.25">
      <c r="D274" s="65"/>
      <c r="E274" s="65"/>
      <c r="F274" s="65"/>
      <c r="G274" s="65"/>
      <c r="I274" s="65"/>
      <c r="J274" s="65"/>
      <c r="K274" s="65"/>
      <c r="L274" s="65"/>
      <c r="N274" s="65"/>
      <c r="O274" s="65"/>
      <c r="P274" s="65"/>
      <c r="Q274" s="65"/>
      <c r="S274" s="186"/>
      <c r="T274" s="186"/>
      <c r="V274" s="186"/>
      <c r="W274" s="186"/>
      <c r="Y274" s="186"/>
      <c r="Z274" s="186"/>
      <c r="AB274" s="186"/>
      <c r="AC274" s="186"/>
    </row>
    <row r="275" spans="2:29" ht="15.75" customHeight="1" x14ac:dyDescent="0.25">
      <c r="B275" s="63" t="s">
        <v>183</v>
      </c>
      <c r="D275" s="65"/>
      <c r="E275" s="65"/>
      <c r="F275" s="65"/>
      <c r="G275" s="65"/>
      <c r="I275" s="65"/>
      <c r="J275" s="65"/>
      <c r="K275" s="65"/>
      <c r="L275" s="65"/>
      <c r="N275" s="65"/>
      <c r="O275" s="65"/>
      <c r="P275" s="65"/>
      <c r="Q275" s="65"/>
      <c r="S275" s="186"/>
      <c r="T275" s="186"/>
      <c r="V275" s="186"/>
      <c r="W275" s="186"/>
      <c r="Y275" s="186"/>
      <c r="Z275" s="186"/>
      <c r="AB275" s="186"/>
      <c r="AC275" s="186"/>
    </row>
    <row r="276" spans="2:29" ht="15.75" customHeight="1" x14ac:dyDescent="0.25">
      <c r="B276" s="63" t="s">
        <v>184</v>
      </c>
      <c r="D276" s="125">
        <v>375.90499999999997</v>
      </c>
      <c r="E276" s="125">
        <v>3524.4360000000006</v>
      </c>
      <c r="F276" s="125"/>
      <c r="G276" s="125"/>
      <c r="I276" s="125">
        <v>319.91500000000002</v>
      </c>
      <c r="J276" s="125">
        <v>641.23399999999992</v>
      </c>
      <c r="K276" s="125">
        <v>-755.524</v>
      </c>
      <c r="L276" s="125">
        <v>-205.62499999999989</v>
      </c>
      <c r="N276" s="125">
        <v>186.57</v>
      </c>
      <c r="O276" s="125">
        <v>121.86700000000002</v>
      </c>
      <c r="P276" s="125">
        <v>226.26800000000003</v>
      </c>
      <c r="Q276" s="125">
        <v>-308.42000000000007</v>
      </c>
      <c r="S276" s="181">
        <f t="shared" ref="S276:T280" si="258">SUMIFS($C276:$R276,$C$7:$R$7,S$7,$C$6:$R$6,S$6)</f>
        <v>3524.4360000000006</v>
      </c>
      <c r="T276" s="181">
        <f t="shared" si="258"/>
        <v>641.23399999999992</v>
      </c>
      <c r="V276" s="181">
        <f t="shared" ref="V276:W280" si="259">SUMIF($C$1:$R$1,V$1,$C276:$R276)</f>
        <v>2939.1920000000005</v>
      </c>
      <c r="W276" s="181">
        <f t="shared" si="259"/>
        <v>878.99699999999984</v>
      </c>
      <c r="Y276" s="181">
        <f t="shared" ref="Y276:AC280" si="260">SUMIFS($C276:$R276,$C$7:$R$7,VALUE(RIGHT(Y$7,4)),$C$1:$R$1,Y$1)</f>
        <v>3900.3410000000003</v>
      </c>
      <c r="Z276" s="181">
        <f t="shared" si="260"/>
        <v>961.14899999999989</v>
      </c>
      <c r="AB276" s="181">
        <f t="shared" ref="AB276:AC280" si="261">SUMIF($C$7:$R$7,AB$7,$C276:$R276)</f>
        <v>0</v>
      </c>
      <c r="AC276" s="181">
        <f t="shared" si="261"/>
        <v>226.28499999999997</v>
      </c>
    </row>
    <row r="277" spans="2:29" ht="15.75" customHeight="1" x14ac:dyDescent="0.25">
      <c r="B277" s="63" t="s">
        <v>185</v>
      </c>
      <c r="D277" s="125">
        <v>-70.141000000000005</v>
      </c>
      <c r="E277" s="125">
        <v>-70.802999999999983</v>
      </c>
      <c r="F277" s="125"/>
      <c r="G277" s="125"/>
      <c r="I277" s="125">
        <v>-76.206000000000003</v>
      </c>
      <c r="J277" s="125">
        <v>-78.319000000000003</v>
      </c>
      <c r="K277" s="125">
        <v>-76.287000000000006</v>
      </c>
      <c r="L277" s="125">
        <v>-47.514999999999986</v>
      </c>
      <c r="N277" s="125">
        <v>-75.704999999999998</v>
      </c>
      <c r="O277" s="125">
        <v>-76.214999999999989</v>
      </c>
      <c r="P277" s="125">
        <v>-75.84</v>
      </c>
      <c r="Q277" s="125">
        <v>-73.54000000000002</v>
      </c>
      <c r="S277" s="181">
        <f t="shared" si="258"/>
        <v>-70.802999999999983</v>
      </c>
      <c r="T277" s="181">
        <f t="shared" si="258"/>
        <v>-78.319000000000003</v>
      </c>
      <c r="V277" s="181">
        <f t="shared" si="259"/>
        <v>-264.74599999999998</v>
      </c>
      <c r="W277" s="181">
        <f t="shared" si="259"/>
        <v>-303.90500000000003</v>
      </c>
      <c r="Y277" s="181">
        <f t="shared" si="260"/>
        <v>-140.94399999999999</v>
      </c>
      <c r="Z277" s="181">
        <f t="shared" si="260"/>
        <v>-154.52500000000001</v>
      </c>
      <c r="AB277" s="181">
        <f t="shared" si="261"/>
        <v>-278.327</v>
      </c>
      <c r="AC277" s="181">
        <f t="shared" si="261"/>
        <v>-301.3</v>
      </c>
    </row>
    <row r="278" spans="2:29" ht="15.75" customHeight="1" x14ac:dyDescent="0.25">
      <c r="B278" s="63" t="s">
        <v>186</v>
      </c>
      <c r="D278" s="125" t="s">
        <v>8</v>
      </c>
      <c r="E278" s="125">
        <v>-2819.5190000000002</v>
      </c>
      <c r="F278" s="125"/>
      <c r="G278" s="125"/>
      <c r="I278" s="125" t="s">
        <v>8</v>
      </c>
      <c r="J278" s="125" t="s">
        <v>8</v>
      </c>
      <c r="K278" s="125" t="s">
        <v>8</v>
      </c>
      <c r="L278" s="125">
        <v>-82.197999999999993</v>
      </c>
      <c r="N278" s="125" t="s">
        <v>8</v>
      </c>
      <c r="O278" s="125" t="s">
        <v>8</v>
      </c>
      <c r="P278" s="125" t="s">
        <v>8</v>
      </c>
      <c r="Q278" s="125">
        <v>-288.09400000000005</v>
      </c>
      <c r="S278" s="181">
        <f t="shared" si="258"/>
        <v>-2819.5190000000002</v>
      </c>
      <c r="T278" s="181">
        <f t="shared" si="258"/>
        <v>0</v>
      </c>
      <c r="V278" s="181">
        <f t="shared" si="259"/>
        <v>-2901.7170000000001</v>
      </c>
      <c r="W278" s="181">
        <f t="shared" si="259"/>
        <v>-288.09400000000005</v>
      </c>
      <c r="Y278" s="181">
        <f t="shared" si="260"/>
        <v>-2819.5190000000002</v>
      </c>
      <c r="Z278" s="181">
        <f t="shared" si="260"/>
        <v>0</v>
      </c>
      <c r="AB278" s="181">
        <f t="shared" si="261"/>
        <v>-82.197999999999993</v>
      </c>
      <c r="AC278" s="181">
        <f t="shared" si="261"/>
        <v>-288.09400000000005</v>
      </c>
    </row>
    <row r="279" spans="2:29" ht="15.75" customHeight="1" x14ac:dyDescent="0.25">
      <c r="B279" s="63" t="s">
        <v>187</v>
      </c>
      <c r="D279" s="125">
        <v>-101.91800000000001</v>
      </c>
      <c r="E279" s="125">
        <v>-5.9159999999999968</v>
      </c>
      <c r="F279" s="125"/>
      <c r="G279" s="125"/>
      <c r="I279" s="125">
        <v>-46.449198999999993</v>
      </c>
      <c r="J279" s="125">
        <v>-21.518300000000004</v>
      </c>
      <c r="K279" s="125">
        <v>-68.044494</v>
      </c>
      <c r="L279" s="125">
        <v>-5.9158670000000004</v>
      </c>
      <c r="N279" s="125">
        <v>277.10912999999999</v>
      </c>
      <c r="O279" s="125">
        <v>-8.3737999999999992</v>
      </c>
      <c r="P279" s="125">
        <v>-24.117023999999997</v>
      </c>
      <c r="Q279" s="125">
        <v>-8.37430599999999</v>
      </c>
      <c r="S279" s="181">
        <f t="shared" si="258"/>
        <v>-5.9159999999999968</v>
      </c>
      <c r="T279" s="181">
        <f t="shared" si="258"/>
        <v>-21.518300000000004</v>
      </c>
      <c r="V279" s="181">
        <f t="shared" si="259"/>
        <v>-181.79436099999998</v>
      </c>
      <c r="W279" s="181">
        <f t="shared" si="259"/>
        <v>-100.45882899999999</v>
      </c>
      <c r="Y279" s="181">
        <f t="shared" si="260"/>
        <v>-107.834</v>
      </c>
      <c r="Z279" s="181">
        <f t="shared" si="260"/>
        <v>-67.967499000000004</v>
      </c>
      <c r="AB279" s="181">
        <f t="shared" si="260"/>
        <v>0</v>
      </c>
      <c r="AC279" s="181">
        <f t="shared" si="260"/>
        <v>0</v>
      </c>
    </row>
    <row r="280" spans="2:29" ht="15.75" customHeight="1" x14ac:dyDescent="0.25">
      <c r="B280" s="63" t="s">
        <v>188</v>
      </c>
      <c r="D280" s="125">
        <v>-29.507999999999999</v>
      </c>
      <c r="E280" s="125">
        <v>-37.875</v>
      </c>
      <c r="F280" s="125"/>
      <c r="G280" s="125"/>
      <c r="I280" s="125">
        <v>-53.15</v>
      </c>
      <c r="J280" s="125">
        <v>-23.76700000000001</v>
      </c>
      <c r="K280" s="125">
        <v>-31.887999999999977</v>
      </c>
      <c r="L280" s="125">
        <v>-57.095000000000027</v>
      </c>
      <c r="N280" s="125">
        <v>-46.253999999999998</v>
      </c>
      <c r="O280" s="125">
        <v>-132.791</v>
      </c>
      <c r="P280" s="125">
        <v>-154.75800000000001</v>
      </c>
      <c r="Q280" s="125">
        <v>-102.59699999999998</v>
      </c>
      <c r="S280" s="181">
        <f t="shared" si="258"/>
        <v>-37.875</v>
      </c>
      <c r="T280" s="181">
        <f t="shared" si="258"/>
        <v>-23.76700000000001</v>
      </c>
      <c r="V280" s="181">
        <f t="shared" si="259"/>
        <v>-156.36599999999999</v>
      </c>
      <c r="W280" s="181">
        <f t="shared" si="259"/>
        <v>-334.27199999999999</v>
      </c>
      <c r="Y280" s="181">
        <f t="shared" si="260"/>
        <v>-67.382999999999996</v>
      </c>
      <c r="Z280" s="181">
        <f t="shared" si="260"/>
        <v>-76.917000000000002</v>
      </c>
      <c r="AB280" s="181">
        <f t="shared" si="261"/>
        <v>-165.9</v>
      </c>
      <c r="AC280" s="181">
        <f t="shared" si="261"/>
        <v>-436.4</v>
      </c>
    </row>
    <row r="281" spans="2:29" ht="15.75" customHeight="1" x14ac:dyDescent="0.25">
      <c r="B281" s="144" t="s">
        <v>189</v>
      </c>
      <c r="D281" s="142">
        <f>SUM(D276:D280)</f>
        <v>174.33799999999994</v>
      </c>
      <c r="E281" s="142">
        <f>SUM(E276:E280)</f>
        <v>590.32300000000055</v>
      </c>
      <c r="F281" s="142">
        <f>SUM(F276:F280)</f>
        <v>0</v>
      </c>
      <c r="G281" s="142">
        <f>SUM(G276:G280)</f>
        <v>0</v>
      </c>
      <c r="I281" s="142">
        <f>SUM(I276:I280)</f>
        <v>144.109801</v>
      </c>
      <c r="J281" s="142">
        <f>SUM(J276:J280)</f>
        <v>517.62969999999996</v>
      </c>
      <c r="K281" s="142">
        <f>SUM(K276:K280)</f>
        <v>-931.74349400000006</v>
      </c>
      <c r="L281" s="142">
        <f>SUM(L276:L280)</f>
        <v>-398.34886699999987</v>
      </c>
      <c r="N281" s="142">
        <f>SUM(N276:N280)</f>
        <v>341.72012999999998</v>
      </c>
      <c r="O281" s="142">
        <f>SUM(O276:O280)</f>
        <v>-95.51279999999997</v>
      </c>
      <c r="P281" s="142">
        <f>SUM(P276:P280)</f>
        <v>-28.447023999999985</v>
      </c>
      <c r="Q281" s="142">
        <f>SUM(Q276:Q280)</f>
        <v>-781.025306</v>
      </c>
      <c r="S281" s="193">
        <f t="shared" ref="S281:T281" si="262">SUM(S276:S280)</f>
        <v>590.32300000000055</v>
      </c>
      <c r="T281" s="193">
        <f t="shared" si="262"/>
        <v>517.62969999999996</v>
      </c>
      <c r="V281" s="193">
        <f t="shared" ref="V281:W281" si="263">SUM(V276:V280)</f>
        <v>-565.4313609999997</v>
      </c>
      <c r="W281" s="193">
        <f t="shared" si="263"/>
        <v>-147.73282900000015</v>
      </c>
      <c r="Y281" s="193">
        <f t="shared" ref="Y281:AC281" si="264">SUM(Y276:Y280)</f>
        <v>764.66100000000006</v>
      </c>
      <c r="Z281" s="193">
        <f t="shared" ref="Z281" si="265">SUM(Z276:Z280)</f>
        <v>661.7395009999999</v>
      </c>
      <c r="AB281" s="193">
        <f t="shared" si="264"/>
        <v>-526.42499999999995</v>
      </c>
      <c r="AC281" s="193">
        <f t="shared" si="264"/>
        <v>-799.50900000000001</v>
      </c>
    </row>
    <row r="282" spans="2:29" ht="15.75" customHeight="1" x14ac:dyDescent="0.25">
      <c r="D282" s="65"/>
      <c r="E282" s="65"/>
      <c r="F282" s="65"/>
      <c r="G282" s="65"/>
      <c r="I282" s="65"/>
      <c r="J282" s="65"/>
      <c r="K282" s="65"/>
      <c r="L282" s="65"/>
      <c r="N282" s="65"/>
      <c r="O282" s="65"/>
      <c r="P282" s="65"/>
      <c r="Q282" s="65"/>
      <c r="S282" s="186"/>
      <c r="T282" s="186"/>
      <c r="V282" s="186"/>
      <c r="W282" s="186"/>
      <c r="Y282" s="186"/>
      <c r="Z282" s="186"/>
      <c r="AB282" s="186"/>
      <c r="AC282" s="186"/>
    </row>
    <row r="283" spans="2:29" ht="15.75" customHeight="1" x14ac:dyDescent="0.25">
      <c r="B283" s="141" t="s">
        <v>190</v>
      </c>
      <c r="D283" s="154">
        <f>D266+D273+D281</f>
        <v>-678.67093665273603</v>
      </c>
      <c r="E283" s="154">
        <f>E266+E273+E281</f>
        <v>673.2819366527367</v>
      </c>
      <c r="F283" s="154">
        <f>F266+F273+F281</f>
        <v>0</v>
      </c>
      <c r="G283" s="154">
        <f>G266+G273+G281</f>
        <v>0</v>
      </c>
      <c r="I283" s="154">
        <f>I266+I273+I281</f>
        <v>-514.34199999999964</v>
      </c>
      <c r="J283" s="154">
        <f>J266+J273+J281</f>
        <v>-79.477000000000999</v>
      </c>
      <c r="K283" s="154">
        <f>K266+K273+K281</f>
        <v>218.07699999999863</v>
      </c>
      <c r="L283" s="154">
        <f>L266+L273+L281</f>
        <v>395.98456468966373</v>
      </c>
      <c r="N283" s="154">
        <f>N266+N273+N281</f>
        <v>-131.60300000000012</v>
      </c>
      <c r="O283" s="154">
        <f>O266+O273+O281</f>
        <v>-221.45799999999974</v>
      </c>
      <c r="P283" s="154">
        <f>P266+P273+P281</f>
        <v>32.9180000000012</v>
      </c>
      <c r="Q283" s="154">
        <f>Q266+Q273+Q281</f>
        <v>257.42782894427478</v>
      </c>
      <c r="S283" s="196">
        <f t="shared" ref="S283:T283" si="266">S266+S273+S281</f>
        <v>673.2819366527367</v>
      </c>
      <c r="T283" s="196">
        <f t="shared" si="266"/>
        <v>-79.477000000000999</v>
      </c>
      <c r="V283" s="196">
        <f t="shared" ref="V283:W283" si="267">V266+V273+V281</f>
        <v>608.67256468966275</v>
      </c>
      <c r="W283" s="196">
        <f t="shared" si="267"/>
        <v>-303.47317105572483</v>
      </c>
      <c r="Y283" s="196">
        <f t="shared" ref="Y283:AC283" si="268">Y266+Y273+Y281</f>
        <v>-5.3889999999998963</v>
      </c>
      <c r="Z283" s="196">
        <f t="shared" ref="Z283" si="269">Z266+Z273+Z281</f>
        <v>-593.81900000000053</v>
      </c>
      <c r="AB283" s="196">
        <f t="shared" si="268"/>
        <v>162.1704246896619</v>
      </c>
      <c r="AC283" s="196">
        <f t="shared" si="268"/>
        <v>-298.95917105572391</v>
      </c>
    </row>
    <row r="284" spans="2:29" ht="15.75" customHeight="1" x14ac:dyDescent="0.25">
      <c r="D284" s="65"/>
      <c r="E284" s="65"/>
      <c r="F284" s="65"/>
      <c r="G284" s="65"/>
      <c r="I284" s="65"/>
      <c r="J284" s="65"/>
      <c r="K284" s="65"/>
      <c r="L284" s="65"/>
      <c r="N284" s="65"/>
      <c r="O284" s="65"/>
      <c r="P284" s="65"/>
      <c r="Q284" s="65"/>
      <c r="S284" s="186"/>
      <c r="T284" s="186"/>
      <c r="V284" s="186"/>
      <c r="W284" s="186"/>
      <c r="Y284" s="186"/>
      <c r="Z284" s="186"/>
      <c r="AB284" s="186"/>
      <c r="AC284" s="186"/>
    </row>
    <row r="285" spans="2:29" ht="15.75" customHeight="1" x14ac:dyDescent="0.25">
      <c r="B285" s="144" t="s">
        <v>191</v>
      </c>
      <c r="D285" s="132">
        <f>IF(D255=0,0,L287)</f>
        <v>1254.793393633938</v>
      </c>
      <c r="E285" s="132">
        <f>IF(E255=0,0,D287)</f>
        <v>558.49245698120183</v>
      </c>
      <c r="F285" s="132">
        <f>IF(F255=0,0,E287)</f>
        <v>0</v>
      </c>
      <c r="G285" s="132">
        <f>IF(G255=0,0,F287)</f>
        <v>0</v>
      </c>
      <c r="I285" s="132">
        <f>IF(I255=0,0,Q287)</f>
        <v>1229.5238289442764</v>
      </c>
      <c r="J285" s="132">
        <f>IF(J255=0,0,I287)</f>
        <v>734.12982894427671</v>
      </c>
      <c r="K285" s="132">
        <f>IF(K255=0,0,J287)</f>
        <v>645.7928289442757</v>
      </c>
      <c r="L285" s="132">
        <f>IF(L255=0,0,K287)</f>
        <v>856.14082894427429</v>
      </c>
      <c r="N285" s="132">
        <v>1340.95</v>
      </c>
      <c r="O285" s="132">
        <f>IF(O255=0,0,N287)</f>
        <v>1212.886</v>
      </c>
      <c r="P285" s="132">
        <f>IF(P255=0,0,O287)</f>
        <v>1013.4140000000003</v>
      </c>
      <c r="Q285" s="132">
        <f>IF(Q255=0,0,P287)</f>
        <v>1021.7030000000016</v>
      </c>
      <c r="S285" s="187">
        <f t="shared" ref="S285:T286" si="270">SUMIFS($C285:$R285,$C$7:$R$7,S$7,$C$6:$R$6,S$6)</f>
        <v>558.49245698120183</v>
      </c>
      <c r="T285" s="187">
        <f t="shared" si="270"/>
        <v>734.12982894427671</v>
      </c>
      <c r="V285" s="188">
        <f>+K285</f>
        <v>645.7928289442757</v>
      </c>
      <c r="W285" s="188">
        <f>+P285</f>
        <v>1013.4140000000003</v>
      </c>
      <c r="Y285" s="188">
        <f>INDEX($C285:$U285,MATCH(Y$7,$C$7:$U$7,-1))</f>
        <v>1254.793393633938</v>
      </c>
      <c r="Z285" s="188">
        <f>INDEX($C285:$U285,MATCH(Z$7,$C$7:$U$7,-1))</f>
        <v>1229.5238289442764</v>
      </c>
      <c r="AB285" s="188">
        <f>INDEX($C285:$U285,MATCH(AB$7,$C$7:$U$7,-1))</f>
        <v>1229.5238289442764</v>
      </c>
      <c r="AC285" s="188">
        <f>INDEX($C285:$U285,MATCH(AC$7,$C$7:$U$7,-1))</f>
        <v>1340.95</v>
      </c>
    </row>
    <row r="286" spans="2:29" ht="15.75" customHeight="1" x14ac:dyDescent="0.25">
      <c r="B286" s="63" t="s">
        <v>192</v>
      </c>
      <c r="D286" s="125">
        <v>-17.63</v>
      </c>
      <c r="E286" s="125">
        <v>-2.9819999999999993</v>
      </c>
      <c r="F286" s="125"/>
      <c r="G286" s="125"/>
      <c r="I286" s="125">
        <v>18.948</v>
      </c>
      <c r="J286" s="125">
        <v>-8.8600000000000012</v>
      </c>
      <c r="K286" s="125">
        <v>-7.7289999999999992</v>
      </c>
      <c r="L286" s="125">
        <v>2.6680000000000001</v>
      </c>
      <c r="N286" s="125">
        <v>3.5390000000000001</v>
      </c>
      <c r="O286" s="125">
        <v>21.985999999999997</v>
      </c>
      <c r="P286" s="125">
        <v>-24.628999999999998</v>
      </c>
      <c r="Q286" s="125">
        <v>-49.606999999999999</v>
      </c>
      <c r="S286" s="181">
        <f t="shared" si="270"/>
        <v>-2.9819999999999993</v>
      </c>
      <c r="T286" s="181">
        <f t="shared" si="270"/>
        <v>-8.8600000000000012</v>
      </c>
      <c r="V286" s="181">
        <f t="shared" ref="V286:W286" si="271">SUMIF($C$1:$R$1,V$1,$C286:$R286)</f>
        <v>-25.672999999999998</v>
      </c>
      <c r="W286" s="181">
        <f t="shared" si="271"/>
        <v>-64.147999999999996</v>
      </c>
      <c r="Y286" s="181">
        <f>SUMIFS($C286:$R286,$C$7:$R$7,VALUE(RIGHT(Y$7,4)),$C$1:$R$1,Y$1)</f>
        <v>-20.611999999999998</v>
      </c>
      <c r="Z286" s="181">
        <f>SUMIFS($C286:$R286,$C$7:$R$7,VALUE(RIGHT(Z$7,4)),$C$1:$R$1,Z$1)</f>
        <v>10.087999999999999</v>
      </c>
      <c r="AB286" s="181">
        <f t="shared" ref="AB286:AC286" si="272">SUMIF($C$7:$R$7,AB$7,$C286:$R286)</f>
        <v>5.0270000000000001</v>
      </c>
      <c r="AC286" s="181">
        <f t="shared" si="272"/>
        <v>-48.710999999999999</v>
      </c>
    </row>
    <row r="287" spans="2:29" ht="15.75" customHeight="1" x14ac:dyDescent="0.25">
      <c r="B287" s="144" t="s">
        <v>193</v>
      </c>
      <c r="D287" s="142">
        <f>D285+D286+D283</f>
        <v>558.49245698120183</v>
      </c>
      <c r="E287" s="142">
        <f>E285+E286+E283</f>
        <v>1228.7923936339384</v>
      </c>
      <c r="F287" s="142">
        <f>F285+F286+F283</f>
        <v>0</v>
      </c>
      <c r="G287" s="142">
        <f>G285+G286+G283</f>
        <v>0</v>
      </c>
      <c r="I287" s="142">
        <f>I283+I285+I286</f>
        <v>734.12982894427671</v>
      </c>
      <c r="J287" s="142">
        <f>J285+J286+J283</f>
        <v>645.7928289442757</v>
      </c>
      <c r="K287" s="142">
        <f>K285+K286+K283</f>
        <v>856.14082894427429</v>
      </c>
      <c r="L287" s="142">
        <f>L285+L286+L283</f>
        <v>1254.793393633938</v>
      </c>
      <c r="N287" s="142">
        <f>N283+N285+N286</f>
        <v>1212.886</v>
      </c>
      <c r="O287" s="142">
        <f>O285+O286+O283</f>
        <v>1013.4140000000003</v>
      </c>
      <c r="P287" s="142">
        <f>P285+P286+P283</f>
        <v>1021.7030000000016</v>
      </c>
      <c r="Q287" s="142">
        <f>Q285+Q286+Q283</f>
        <v>1229.5238289442764</v>
      </c>
      <c r="S287" s="193">
        <f t="shared" ref="S287" si="273">S285+S286+S283</f>
        <v>1228.7923936339384</v>
      </c>
      <c r="T287" s="193">
        <f>T285+T286+T283+0.144</f>
        <v>645.9368289442757</v>
      </c>
      <c r="V287" s="193">
        <f>V285+V286+V283</f>
        <v>1228.7923936339384</v>
      </c>
      <c r="W287" s="193">
        <f>W285+W286+W283</f>
        <v>645.79282894427547</v>
      </c>
      <c r="Y287" s="193">
        <f t="shared" ref="Y287:AC287" si="274">Y285+Y286+Y283</f>
        <v>1228.792393633938</v>
      </c>
      <c r="Z287" s="193">
        <f t="shared" ref="Z287" si="275">Z285+Z286+Z283</f>
        <v>645.79282894427581</v>
      </c>
      <c r="AB287" s="193">
        <f t="shared" si="274"/>
        <v>1396.7212536339384</v>
      </c>
      <c r="AC287" s="193">
        <f t="shared" si="274"/>
        <v>993.27982894427612</v>
      </c>
    </row>
    <row r="288" spans="2:29" ht="15.75" customHeight="1" x14ac:dyDescent="0.25">
      <c r="D288" s="8"/>
      <c r="E288" s="8"/>
      <c r="F288" s="8"/>
      <c r="G288" s="155"/>
      <c r="I288" s="8"/>
      <c r="J288" s="8"/>
      <c r="K288" s="8"/>
      <c r="L288" s="155"/>
      <c r="S288" s="177"/>
      <c r="T288" s="177"/>
      <c r="V288" s="177"/>
      <c r="W288" s="177"/>
      <c r="Y288" s="177"/>
      <c r="Z288" s="177"/>
      <c r="AB288" s="177"/>
      <c r="AC288" s="177"/>
    </row>
    <row r="289" spans="2:29" ht="15.75" customHeight="1" x14ac:dyDescent="0.25">
      <c r="D289" s="8"/>
      <c r="E289" s="8"/>
      <c r="F289" s="8"/>
      <c r="G289" s="8"/>
      <c r="I289" s="8"/>
      <c r="J289" s="8"/>
      <c r="K289" s="8"/>
      <c r="L289" s="8"/>
      <c r="N289" s="8"/>
      <c r="O289" s="8"/>
      <c r="P289" s="8"/>
      <c r="Q289" s="8"/>
      <c r="S289" s="184"/>
      <c r="T289" s="184"/>
      <c r="V289" s="184"/>
      <c r="W289" s="184"/>
      <c r="Y289" s="184"/>
      <c r="Z289" s="184"/>
      <c r="AB289" s="184"/>
      <c r="AC289" s="184"/>
    </row>
    <row r="290" spans="2:29" ht="15.75" customHeight="1" x14ac:dyDescent="0.25">
      <c r="D290" s="8"/>
      <c r="E290" s="8"/>
      <c r="F290" s="8"/>
      <c r="G290" s="8"/>
      <c r="I290" s="8"/>
      <c r="J290" s="8"/>
      <c r="K290" s="8"/>
      <c r="L290" s="8"/>
      <c r="N290" s="8"/>
      <c r="O290" s="8"/>
      <c r="P290" s="8"/>
      <c r="Q290" s="8"/>
      <c r="S290" s="184"/>
      <c r="T290" s="184"/>
      <c r="V290" s="184"/>
      <c r="W290" s="184"/>
      <c r="Y290" s="184"/>
      <c r="Z290" s="184"/>
      <c r="AB290" s="184"/>
      <c r="AC290" s="184"/>
    </row>
    <row r="291" spans="2:29" x14ac:dyDescent="0.25">
      <c r="B291" s="7"/>
      <c r="S291" s="177"/>
      <c r="T291" s="177"/>
      <c r="V291" s="177"/>
      <c r="W291" s="177"/>
      <c r="Y291" s="177"/>
      <c r="Z291" s="177"/>
      <c r="AB291" s="177"/>
      <c r="AC291" s="177"/>
    </row>
    <row r="292" spans="2:29" x14ac:dyDescent="0.25">
      <c r="B292" s="7" t="s">
        <v>194</v>
      </c>
      <c r="D292" s="5"/>
      <c r="E292" s="5"/>
      <c r="I292" s="5"/>
      <c r="J292" s="5"/>
      <c r="S292" s="177"/>
      <c r="T292" s="177"/>
      <c r="V292" s="177"/>
      <c r="W292" s="177"/>
      <c r="Y292" s="177"/>
      <c r="Z292" s="177"/>
      <c r="AB292" s="177"/>
      <c r="AC292" s="177"/>
    </row>
    <row r="293" spans="2:29" x14ac:dyDescent="0.25">
      <c r="B293" s="5" t="s">
        <v>195</v>
      </c>
      <c r="D293" s="1">
        <v>123.152</v>
      </c>
      <c r="E293" s="1">
        <v>53.775999999999996</v>
      </c>
      <c r="F293" s="1">
        <v>0</v>
      </c>
      <c r="G293" s="1">
        <v>0</v>
      </c>
      <c r="I293" s="1">
        <v>114.43805169285503</v>
      </c>
      <c r="J293" s="1">
        <v>130.82180959414498</v>
      </c>
      <c r="K293" s="1">
        <v>95.042089754611965</v>
      </c>
      <c r="L293" s="1">
        <v>251.17458700000003</v>
      </c>
      <c r="N293" s="1">
        <v>158.23090968410003</v>
      </c>
      <c r="O293" s="1">
        <v>115.90546876170004</v>
      </c>
      <c r="P293" s="1">
        <v>115.25521010106698</v>
      </c>
      <c r="Q293" s="1">
        <v>133.50353200000001</v>
      </c>
      <c r="S293" s="77">
        <v>53.775999999999996</v>
      </c>
      <c r="T293" s="77">
        <v>130.82180959414498</v>
      </c>
      <c r="V293" s="181">
        <v>523.14467675461196</v>
      </c>
      <c r="W293" s="181">
        <v>494.01860338806699</v>
      </c>
      <c r="Y293" s="181">
        <v>176.928</v>
      </c>
      <c r="Z293" s="181">
        <v>245.25986128700001</v>
      </c>
      <c r="AB293" s="181">
        <v>591.476538041612</v>
      </c>
      <c r="AC293" s="181">
        <v>522.89512054686702</v>
      </c>
    </row>
    <row r="294" spans="2:29" x14ac:dyDescent="0.25">
      <c r="B294" s="5" t="s">
        <v>196</v>
      </c>
      <c r="D294" s="1">
        <v>0.50700000000000012</v>
      </c>
      <c r="E294" s="1">
        <v>-4.7930000000000001</v>
      </c>
      <c r="F294" s="1">
        <v>0</v>
      </c>
      <c r="G294" s="1">
        <v>0</v>
      </c>
      <c r="I294" s="1">
        <v>-1.8663769830820343</v>
      </c>
      <c r="J294" s="1">
        <v>8.9328418282630171</v>
      </c>
      <c r="K294" s="1">
        <v>89.764866728799348</v>
      </c>
      <c r="L294" s="1">
        <v>27.811668426019679</v>
      </c>
      <c r="N294" s="1">
        <v>35.448485476369186</v>
      </c>
      <c r="O294" s="1">
        <v>14.882768647170263</v>
      </c>
      <c r="P294" s="1">
        <v>2.4204694381816712</v>
      </c>
      <c r="Q294" s="1">
        <v>113.99078187431098</v>
      </c>
      <c r="S294" s="77">
        <v>-4.7930000000000001</v>
      </c>
      <c r="T294" s="77">
        <v>8.9328418282630171</v>
      </c>
      <c r="V294" s="181">
        <v>113.29053515481903</v>
      </c>
      <c r="W294" s="181">
        <v>123.47771615767364</v>
      </c>
      <c r="Y294" s="181">
        <v>-4.2859999999999996</v>
      </c>
      <c r="Z294" s="181">
        <v>7.0664648451809828</v>
      </c>
      <c r="AB294" s="181">
        <v>124.64300000000001</v>
      </c>
      <c r="AC294" s="181">
        <v>166.7425054360321</v>
      </c>
    </row>
    <row r="295" spans="2:29" x14ac:dyDescent="0.25">
      <c r="B295" s="5" t="s">
        <v>197</v>
      </c>
      <c r="D295" s="1">
        <v>46.109000000000002</v>
      </c>
      <c r="E295" s="1">
        <v>-4.1850000000000023</v>
      </c>
      <c r="F295" s="1">
        <v>0</v>
      </c>
      <c r="G295" s="1">
        <v>0</v>
      </c>
      <c r="I295" s="1">
        <v>-23.338000000000001</v>
      </c>
      <c r="J295" s="1">
        <v>-57.473999999999997</v>
      </c>
      <c r="K295" s="1">
        <v>-1.722999999999999</v>
      </c>
      <c r="L295" s="1">
        <v>52.796999999999997</v>
      </c>
      <c r="N295" s="1">
        <v>-21.96</v>
      </c>
      <c r="O295" s="1">
        <v>-40.301000000000002</v>
      </c>
      <c r="P295" s="1">
        <v>-162.16900000000001</v>
      </c>
      <c r="Q295" s="1">
        <v>394.10900000000004</v>
      </c>
      <c r="S295" s="77">
        <v>-4.1850000000000023</v>
      </c>
      <c r="T295" s="77">
        <v>-57.473999999999997</v>
      </c>
      <c r="V295" s="181">
        <v>92.99799999999999</v>
      </c>
      <c r="W295" s="181">
        <v>151.12800000000004</v>
      </c>
      <c r="Y295" s="181">
        <v>41.923999999999999</v>
      </c>
      <c r="Z295" s="181">
        <v>-80.811999999999998</v>
      </c>
      <c r="AB295" s="181">
        <v>-29.738</v>
      </c>
      <c r="AC295" s="181">
        <v>169.67900000000003</v>
      </c>
    </row>
    <row r="296" spans="2:29" x14ac:dyDescent="0.25">
      <c r="B296" s="5" t="s">
        <v>198</v>
      </c>
      <c r="D296" s="1">
        <v>90.135999999999996</v>
      </c>
      <c r="E296" s="1">
        <v>30.963999999999999</v>
      </c>
      <c r="F296" s="1">
        <v>0</v>
      </c>
      <c r="G296" s="1">
        <v>0</v>
      </c>
      <c r="I296" s="1">
        <v>-25.655000000000001</v>
      </c>
      <c r="J296" s="1">
        <v>36.972000000000001</v>
      </c>
      <c r="K296" s="1">
        <v>42.542000000000002</v>
      </c>
      <c r="L296" s="1">
        <v>-42.220999999999997</v>
      </c>
      <c r="N296" s="1">
        <v>9.6609999999999996</v>
      </c>
      <c r="O296" s="1">
        <v>-31.241</v>
      </c>
      <c r="P296" s="1">
        <v>32.369</v>
      </c>
      <c r="Q296" s="1">
        <v>113.601</v>
      </c>
      <c r="S296" s="77">
        <v>30.963999999999999</v>
      </c>
      <c r="T296" s="77">
        <v>36.972000000000001</v>
      </c>
      <c r="V296" s="181">
        <v>121.42099999999999</v>
      </c>
      <c r="W296" s="181">
        <v>157.28700000000001</v>
      </c>
      <c r="Y296" s="181">
        <v>121.1</v>
      </c>
      <c r="Z296" s="181">
        <v>11.317</v>
      </c>
      <c r="AB296" s="181">
        <v>11.638000000000005</v>
      </c>
      <c r="AC296" s="181">
        <v>124.39</v>
      </c>
    </row>
    <row r="297" spans="2:29" x14ac:dyDescent="0.25">
      <c r="B297" s="5" t="s">
        <v>199</v>
      </c>
      <c r="D297" s="1">
        <v>12.397</v>
      </c>
      <c r="E297" s="1">
        <v>129.49800000000002</v>
      </c>
      <c r="F297" s="1">
        <v>0</v>
      </c>
      <c r="G297" s="1">
        <v>0</v>
      </c>
      <c r="I297" s="1">
        <v>101.212</v>
      </c>
      <c r="J297" s="1">
        <v>32.756999999999991</v>
      </c>
      <c r="K297" s="1">
        <v>0.35200000000000387</v>
      </c>
      <c r="L297" s="1">
        <v>-9.6479999999999997</v>
      </c>
      <c r="N297" s="1">
        <v>23.712</v>
      </c>
      <c r="O297" s="1">
        <v>43.102999999999994</v>
      </c>
      <c r="P297" s="1">
        <v>-94.525000000000006</v>
      </c>
      <c r="Q297" s="1">
        <v>31.236000000000001</v>
      </c>
      <c r="S297" s="77">
        <v>129.49800000000002</v>
      </c>
      <c r="T297" s="77">
        <v>32.756999999999991</v>
      </c>
      <c r="V297" s="181">
        <v>132.59900000000002</v>
      </c>
      <c r="W297" s="181">
        <v>70.679999999999993</v>
      </c>
      <c r="Y297" s="181">
        <v>141.89500000000001</v>
      </c>
      <c r="Z297" s="181">
        <v>133.96899999999999</v>
      </c>
      <c r="AB297" s="181">
        <v>124.673</v>
      </c>
      <c r="AC297" s="181">
        <v>3.5259999999999927</v>
      </c>
    </row>
    <row r="298" spans="2:29" x14ac:dyDescent="0.25">
      <c r="B298" s="5" t="s">
        <v>200</v>
      </c>
      <c r="D298" s="1">
        <v>-9.5</v>
      </c>
      <c r="E298" s="1">
        <v>-3.2870000000000008</v>
      </c>
      <c r="F298" s="1">
        <v>0</v>
      </c>
      <c r="G298" s="1">
        <v>0</v>
      </c>
      <c r="I298" s="1">
        <v>-170.261</v>
      </c>
      <c r="J298" s="1">
        <v>-64.319999999999993</v>
      </c>
      <c r="K298" s="1">
        <v>-0.72700000000000387</v>
      </c>
      <c r="L298" s="1">
        <v>12.840999999999999</v>
      </c>
      <c r="N298" s="1">
        <v>-65.703999999999994</v>
      </c>
      <c r="O298" s="1">
        <v>8.3999999999999915</v>
      </c>
      <c r="P298" s="1">
        <v>-14.745999999999995</v>
      </c>
      <c r="Q298" s="1">
        <v>232.36399999999998</v>
      </c>
      <c r="S298" s="77">
        <v>-3.2870000000000008</v>
      </c>
      <c r="T298" s="77">
        <v>-64.319999999999993</v>
      </c>
      <c r="V298" s="181">
        <v>-0.67300000000000537</v>
      </c>
      <c r="W298" s="181">
        <v>-16.963000000000022</v>
      </c>
      <c r="Y298" s="181">
        <v>-12.787000000000001</v>
      </c>
      <c r="Z298" s="181">
        <v>-234.58099999999999</v>
      </c>
      <c r="AB298" s="181">
        <v>-222.46699999999998</v>
      </c>
      <c r="AC298" s="181">
        <v>160.31399999999996</v>
      </c>
    </row>
    <row r="299" spans="2:29" x14ac:dyDescent="0.25">
      <c r="B299" s="5" t="s">
        <v>238</v>
      </c>
      <c r="D299" s="1">
        <v>0</v>
      </c>
      <c r="E299" s="1">
        <v>0</v>
      </c>
      <c r="F299" s="1">
        <v>0</v>
      </c>
      <c r="G299" s="1">
        <v>0</v>
      </c>
      <c r="I299" s="1">
        <v>0</v>
      </c>
      <c r="J299" s="1">
        <v>0</v>
      </c>
      <c r="K299" s="1">
        <v>0</v>
      </c>
      <c r="L299" s="1">
        <v>-16.905999999999999</v>
      </c>
      <c r="N299" s="1">
        <v>0</v>
      </c>
      <c r="O299" s="1">
        <v>0</v>
      </c>
      <c r="P299" s="1">
        <v>0</v>
      </c>
      <c r="Q299" s="1">
        <v>-30.789000000000001</v>
      </c>
      <c r="S299" s="77">
        <v>0</v>
      </c>
      <c r="T299" s="77">
        <v>0</v>
      </c>
      <c r="V299" s="181">
        <v>-16.905999999999999</v>
      </c>
      <c r="W299" s="181">
        <v>-30.789000000000001</v>
      </c>
      <c r="Y299" s="181">
        <v>0</v>
      </c>
      <c r="Z299" s="181">
        <v>0</v>
      </c>
      <c r="AB299" s="181">
        <v>-16.905999999999999</v>
      </c>
      <c r="AC299" s="181">
        <v>-30.789000000000001</v>
      </c>
    </row>
    <row r="300" spans="2:29" x14ac:dyDescent="0.25">
      <c r="B300" s="27" t="s">
        <v>202</v>
      </c>
      <c r="D300" s="29">
        <f>SUM(D293:D299)</f>
        <v>262.80099999999999</v>
      </c>
      <c r="E300" s="29">
        <f>SUM(E293:E299)</f>
        <v>201.97300000000001</v>
      </c>
      <c r="F300" s="29">
        <f>SUM(F293:F299)</f>
        <v>0</v>
      </c>
      <c r="G300" s="29">
        <f>SUM(G293:G299)</f>
        <v>0</v>
      </c>
      <c r="I300" s="29">
        <f>SUM(I293:I299)</f>
        <v>-5.4703252902270094</v>
      </c>
      <c r="J300" s="29">
        <f>SUM(J293:J299)</f>
        <v>87.689651422408019</v>
      </c>
      <c r="K300" s="29">
        <f>SUM(K293:K299)</f>
        <v>225.25095648341133</v>
      </c>
      <c r="L300" s="29">
        <f>SUM(L293:L299)</f>
        <v>275.84925542601974</v>
      </c>
      <c r="N300" s="29">
        <f>SUM(N293:N299)</f>
        <v>139.3883951604692</v>
      </c>
      <c r="O300" s="29">
        <f>SUM(O293:O299)</f>
        <v>110.74923740887027</v>
      </c>
      <c r="P300" s="29">
        <f>SUM(P293:P299)</f>
        <v>-121.39532046075136</v>
      </c>
      <c r="Q300" s="29">
        <f>SUM(Q293:Q299)</f>
        <v>988.015313874311</v>
      </c>
      <c r="S300" s="197">
        <f>SUM(S293:S299)</f>
        <v>201.97300000000001</v>
      </c>
      <c r="T300" s="197">
        <f>SUM(T293:T299)</f>
        <v>87.689651422408019</v>
      </c>
      <c r="V300" s="197">
        <f t="shared" ref="V300:W300" si="276">SUM(V293:V299)</f>
        <v>965.87421190943121</v>
      </c>
      <c r="W300" s="197">
        <f t="shared" si="276"/>
        <v>948.83931954574064</v>
      </c>
      <c r="Y300" s="197">
        <f t="shared" ref="Y300:AC300" si="277">SUM(Y293:Y299)</f>
        <v>464.77400000000006</v>
      </c>
      <c r="Z300" s="197">
        <f t="shared" ref="Z300" si="278">SUM(Z293:Z299)</f>
        <v>82.21932613218101</v>
      </c>
      <c r="AB300" s="197">
        <f t="shared" si="277"/>
        <v>583.31953804161208</v>
      </c>
      <c r="AC300" s="197">
        <f t="shared" si="277"/>
        <v>1116.7576259828991</v>
      </c>
    </row>
  </sheetData>
  <mergeCells count="10">
    <mergeCell ref="I163:J163"/>
    <mergeCell ref="I205:J205"/>
    <mergeCell ref="D118:E118"/>
    <mergeCell ref="D163:E163"/>
    <mergeCell ref="D205:E205"/>
    <mergeCell ref="S5:T5"/>
    <mergeCell ref="V5:W5"/>
    <mergeCell ref="Y5:Z5"/>
    <mergeCell ref="AB5:AC5"/>
    <mergeCell ref="I118:J118"/>
  </mergeCells>
  <conditionalFormatting sqref="D41:AC41">
    <cfRule type="expression" dxfId="0" priority="3">
      <formula>ROUND((D$41-SUM(D$36:D$40)),0)&lt;&gt;0</formula>
    </cfRule>
  </conditionalFormatting>
  <pageMargins left="0.55118110236220474" right="0.15748031496062992" top="0.59055118110236227" bottom="0.19685039370078741" header="0.11811023622047245" footer="0.11811023622047245"/>
  <pageSetup paperSize="9" scale="56" fitToHeight="0" orientation="portrait" useFirstPageNumber="1" horizontalDpi="200" verticalDpi="200" r:id="rId1"/>
  <headerFooter alignWithMargins="0">
    <oddFooter>&amp;RNynas AB (publ)
Org nr 556029-2509
&amp;P</oddFooter>
  </headerFooter>
  <rowBreaks count="4" manualBreakCount="4">
    <brk id="115" max="16383" man="1"/>
    <brk id="160" max="16383" man="1"/>
    <brk id="201" max="16383" man="1"/>
    <brk id="251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579DF-C1CE-420E-9FBA-8344052F27C4}">
  <dimension ref="B3:M49"/>
  <sheetViews>
    <sheetView showGridLines="0" workbookViewId="0"/>
  </sheetViews>
  <sheetFormatPr defaultRowHeight="12.75" x14ac:dyDescent="0.2"/>
  <cols>
    <col min="2" max="2" width="55.1640625" bestFit="1" customWidth="1"/>
    <col min="4" max="13" width="10.83203125" customWidth="1"/>
  </cols>
  <sheetData>
    <row r="3" spans="2:13" ht="18.75" x14ac:dyDescent="0.3">
      <c r="B3" s="170" t="s">
        <v>216</v>
      </c>
      <c r="C3" s="104"/>
      <c r="D3" s="171" t="s">
        <v>239</v>
      </c>
      <c r="E3" s="171" t="s">
        <v>240</v>
      </c>
      <c r="F3" s="171" t="s">
        <v>241</v>
      </c>
      <c r="G3" s="171" t="s">
        <v>242</v>
      </c>
      <c r="H3" s="171" t="s">
        <v>243</v>
      </c>
      <c r="I3" s="171" t="s">
        <v>244</v>
      </c>
      <c r="J3" s="171" t="s">
        <v>245</v>
      </c>
      <c r="K3" s="171" t="s">
        <v>246</v>
      </c>
      <c r="L3" s="171" t="s">
        <v>247</v>
      </c>
      <c r="M3" s="171" t="s">
        <v>248</v>
      </c>
    </row>
    <row r="4" spans="2:13" ht="15.75" x14ac:dyDescent="0.25">
      <c r="B4" s="104" t="s">
        <v>44</v>
      </c>
      <c r="C4" s="104"/>
      <c r="D4" s="118">
        <f>(ROUND(SUMIFS('Nynas Group_Quarterly overview'!$C$266:$R$266,'Nynas Group_Quarterly overview'!$C$7:$R$7,VALUE(RIGHT(D$3,4)),'Nynas Group_Quarterly overview'!$C$6:$R$6,LEFT(D$3,2)),3))</f>
        <v>-410.07299999999998</v>
      </c>
      <c r="E4" s="118">
        <f>(ROUND(SUMIFS('Nynas Group_Quarterly overview'!$C$266:$R$266,'Nynas Group_Quarterly overview'!$C$7:$R$7,VALUE(RIGHT(E$3,4)),'Nynas Group_Quarterly overview'!$C$6:$R$6,LEFT(E$3,2)),3))</f>
        <v>-51.435000000000002</v>
      </c>
      <c r="F4" s="118">
        <f>(ROUND(SUMIFS('Nynas Group_Quarterly overview'!$C$266:$R$266,'Nynas Group_Quarterly overview'!$C$7:$R$7,VALUE(RIGHT(F$3,4)),'Nynas Group_Quarterly overview'!$C$6:$R$6,LEFT(F$3,2)),3))</f>
        <v>164.947</v>
      </c>
      <c r="G4" s="118">
        <f>(ROUND(SUMIFS('Nynas Group_Quarterly overview'!$C$266:$R$266,'Nynas Group_Quarterly overview'!$C$7:$R$7,VALUE(RIGHT(G$3,4)),'Nynas Group_Quarterly overview'!$C$6:$R$6,LEFT(G$3,2)),3))</f>
        <v>1396.74</v>
      </c>
      <c r="H4" s="118">
        <f>(ROUND(SUMIFS('Nynas Group_Quarterly overview'!$C$266:$R$266,'Nynas Group_Quarterly overview'!$C$7:$R$7,VALUE(RIGHT(H$3,4)),'Nynas Group_Quarterly overview'!$C$6:$R$6,LEFT(H$3,2)),3))</f>
        <v>-582.827</v>
      </c>
      <c r="I4" s="118">
        <f>(ROUND(SUMIFS('Nynas Group_Quarterly overview'!$C$266:$R$266,'Nynas Group_Quarterly overview'!$C$7:$R$7,VALUE(RIGHT(I$3,4)),'Nynas Group_Quarterly overview'!$C$6:$R$6,LEFT(I$3,2)),3))</f>
        <v>-544.17499999999995</v>
      </c>
      <c r="J4" s="118">
        <f>(ROUND(SUMIFS('Nynas Group_Quarterly overview'!$C$266:$R$266,'Nynas Group_Quarterly overview'!$C$7:$R$7,VALUE(RIGHT(J$3,4)),'Nynas Group_Quarterly overview'!$C$6:$R$6,LEFT(J$3,2)),3))</f>
        <v>1215.24</v>
      </c>
      <c r="K4" s="118">
        <f>(ROUND(SUMIFS('Nynas Group_Quarterly overview'!$C$266:$R$266,'Nynas Group_Quarterly overview'!$C$7:$R$7,VALUE(RIGHT(K$3,4)),'Nynas Group_Quarterly overview'!$C$6:$R$6,LEFT(K$3,2)),3))</f>
        <v>963.16800000000001</v>
      </c>
      <c r="L4" s="118">
        <f>(ROUND(SUMIFS('Nynas Group_Quarterly overview'!$C$266:$R$266,'Nynas Group_Quarterly overview'!$C$7:$R$7,VALUE(RIGHT(L$3,4)),'Nynas Group_Quarterly overview'!$C$6:$R$6,LEFT(L$3,2)),3))</f>
        <v>-779.601</v>
      </c>
      <c r="M4" s="118">
        <f>(ROUND(SUMIFS('Nynas Group_Quarterly overview'!$C$266:$R$266,'Nynas Group_Quarterly overview'!$C$7:$R$7,VALUE(RIGHT(M$3,4)),'Nynas Group_Quarterly overview'!$C$6:$R$6,LEFT(M$3,2)),3))</f>
        <v>167.08199999999999</v>
      </c>
    </row>
    <row r="5" spans="2:13" ht="15.75" x14ac:dyDescent="0.25">
      <c r="B5" s="104" t="s">
        <v>249</v>
      </c>
      <c r="C5" s="104"/>
      <c r="D5" s="118">
        <v>-150.322</v>
      </c>
      <c r="E5" s="118">
        <v>-94.186999999999969</v>
      </c>
      <c r="F5" s="118">
        <v>-78.427000000000021</v>
      </c>
      <c r="G5" s="118">
        <v>-153.94800000000001</v>
      </c>
      <c r="H5" s="118">
        <v>-124.3</v>
      </c>
      <c r="I5" s="118">
        <v>-113.26899999999999</v>
      </c>
      <c r="J5" s="118">
        <v>-80.964999999999989</v>
      </c>
      <c r="K5" s="118">
        <v>-154.13000000000005</v>
      </c>
      <c r="L5" s="118">
        <v>-93.004999999999995</v>
      </c>
      <c r="M5" s="118">
        <v>-48.682999999999993</v>
      </c>
    </row>
    <row r="6" spans="2:13" ht="15.75" x14ac:dyDescent="0.25">
      <c r="B6" s="103" t="s">
        <v>250</v>
      </c>
      <c r="C6" s="103"/>
      <c r="D6" s="105">
        <f>+D4-D5</f>
        <v>-259.75099999999998</v>
      </c>
      <c r="E6" s="105">
        <f t="shared" ref="E6:M6" si="0">+E4-E5</f>
        <v>42.751999999999967</v>
      </c>
      <c r="F6" s="105">
        <f t="shared" si="0"/>
        <v>243.37400000000002</v>
      </c>
      <c r="G6" s="105">
        <f t="shared" si="0"/>
        <v>1550.6880000000001</v>
      </c>
      <c r="H6" s="105">
        <f t="shared" si="0"/>
        <v>-458.52699999999999</v>
      </c>
      <c r="I6" s="105">
        <f t="shared" si="0"/>
        <v>-430.90599999999995</v>
      </c>
      <c r="J6" s="105">
        <f t="shared" si="0"/>
        <v>1296.2049999999999</v>
      </c>
      <c r="K6" s="105">
        <f t="shared" si="0"/>
        <v>1117.298</v>
      </c>
      <c r="L6" s="105">
        <f t="shared" si="0"/>
        <v>-686.596</v>
      </c>
      <c r="M6" s="105">
        <f t="shared" si="0"/>
        <v>215.76499999999999</v>
      </c>
    </row>
    <row r="7" spans="2:13" ht="15.75" x14ac:dyDescent="0.25">
      <c r="B7" s="104" t="s">
        <v>251</v>
      </c>
      <c r="C7" s="104"/>
      <c r="D7" s="118">
        <f>(ROUND(SUMIFS('Nynas Group_Quarterly overview'!$C$277:$R$277,'Nynas Group_Quarterly overview'!$C$7:$R$7,VALUE(RIGHT(D$3,4)),'Nynas Group_Quarterly overview'!$C$6:$R$6,LEFT(D$3,2)),3))</f>
        <v>-75.704999999999998</v>
      </c>
      <c r="E7" s="118">
        <f>(ROUND(SUMIFS('Nynas Group_Quarterly overview'!$C$277:$R$277,'Nynas Group_Quarterly overview'!$C$7:$R$7,VALUE(RIGHT(E$3,4)),'Nynas Group_Quarterly overview'!$C$6:$R$6,LEFT(E$3,2)),3))</f>
        <v>-76.215000000000003</v>
      </c>
      <c r="F7" s="118">
        <f>(ROUND(SUMIFS('Nynas Group_Quarterly overview'!$C$277:$R$277,'Nynas Group_Quarterly overview'!$C$7:$R$7,VALUE(RIGHT(F$3,4)),'Nynas Group_Quarterly overview'!$C$6:$R$6,LEFT(F$3,2)),3))</f>
        <v>-75.84</v>
      </c>
      <c r="G7" s="118">
        <f>(ROUND(SUMIFS('Nynas Group_Quarterly overview'!$C$277:$R$277,'Nynas Group_Quarterly overview'!$C$7:$R$7,VALUE(RIGHT(G$3,4)),'Nynas Group_Quarterly overview'!$C$6:$R$6,LEFT(G$3,2)),3))</f>
        <v>-73.540000000000006</v>
      </c>
      <c r="H7" s="118">
        <f>(ROUND(SUMIFS('Nynas Group_Quarterly overview'!$C$277:$R$277,'Nynas Group_Quarterly overview'!$C$7:$R$7,VALUE(RIGHT(H$3,4)),'Nynas Group_Quarterly overview'!$C$6:$R$6,LEFT(H$3,2)),3))</f>
        <v>-76.206000000000003</v>
      </c>
      <c r="I7" s="118">
        <f>(ROUND(SUMIFS('Nynas Group_Quarterly overview'!$C$277:$R$277,'Nynas Group_Quarterly overview'!$C$7:$R$7,VALUE(RIGHT(I$3,4)),'Nynas Group_Quarterly overview'!$C$6:$R$6,LEFT(I$3,2)),3))</f>
        <v>-78.319000000000003</v>
      </c>
      <c r="J7" s="118">
        <f>(ROUND(SUMIFS('Nynas Group_Quarterly overview'!$C$277:$R$277,'Nynas Group_Quarterly overview'!$C$7:$R$7,VALUE(RIGHT(J$3,4)),'Nynas Group_Quarterly overview'!$C$6:$R$6,LEFT(J$3,2)),3))</f>
        <v>-76.287000000000006</v>
      </c>
      <c r="K7" s="118">
        <f>(ROUND(SUMIFS('Nynas Group_Quarterly overview'!$C$277:$R$277,'Nynas Group_Quarterly overview'!$C$7:$R$7,VALUE(RIGHT(K$3,4)),'Nynas Group_Quarterly overview'!$C$6:$R$6,LEFT(K$3,2)),3))</f>
        <v>-47.515000000000001</v>
      </c>
      <c r="L7" s="118">
        <f>(ROUND(SUMIFS('Nynas Group_Quarterly overview'!$C$277:$R$277,'Nynas Group_Quarterly overview'!$C$7:$R$7,VALUE(RIGHT(L$3,4)),'Nynas Group_Quarterly overview'!$C$6:$R$6,LEFT(L$3,2)),3))</f>
        <v>-70.141000000000005</v>
      </c>
      <c r="M7" s="118">
        <f>(ROUND(SUMIFS('Nynas Group_Quarterly overview'!$C$277:$R$277,'Nynas Group_Quarterly overview'!$C$7:$R$7,VALUE(RIGHT(M$3,4)),'Nynas Group_Quarterly overview'!$C$6:$R$6,LEFT(M$3,2)),3))</f>
        <v>-70.802999999999997</v>
      </c>
    </row>
    <row r="8" spans="2:13" ht="15.75" x14ac:dyDescent="0.25">
      <c r="B8" s="104" t="s">
        <v>252</v>
      </c>
      <c r="C8" s="104"/>
      <c r="D8" s="118">
        <v>53.900000000000006</v>
      </c>
      <c r="E8" s="118">
        <v>10.399999999999991</v>
      </c>
      <c r="F8" s="118">
        <v>39.000000000000014</v>
      </c>
      <c r="G8" s="118">
        <v>31.400000000000006</v>
      </c>
      <c r="H8" s="118">
        <v>29.3</v>
      </c>
      <c r="I8" s="118">
        <v>51.100000000000009</v>
      </c>
      <c r="J8" s="118">
        <v>44.399999999999991</v>
      </c>
      <c r="K8" s="118">
        <v>28.700000000000003</v>
      </c>
      <c r="L8" s="118">
        <v>33.5</v>
      </c>
      <c r="M8" s="118">
        <v>262.89999999999998</v>
      </c>
    </row>
    <row r="9" spans="2:13" ht="15.75" x14ac:dyDescent="0.25">
      <c r="B9" s="104" t="s">
        <v>253</v>
      </c>
      <c r="C9" s="104"/>
      <c r="D9" s="118">
        <v>0</v>
      </c>
      <c r="E9" s="118">
        <v>0</v>
      </c>
      <c r="F9" s="118">
        <v>0</v>
      </c>
      <c r="G9" s="118">
        <v>0</v>
      </c>
      <c r="H9" s="118">
        <v>-26.335999999999999</v>
      </c>
      <c r="I9" s="118">
        <v>0</v>
      </c>
      <c r="J9" s="118">
        <v>26.335999999999999</v>
      </c>
      <c r="K9" s="118">
        <v>0</v>
      </c>
      <c r="L9" s="118">
        <v>0</v>
      </c>
      <c r="M9" s="118">
        <v>-57.49</v>
      </c>
    </row>
    <row r="10" spans="2:13" ht="15.75" x14ac:dyDescent="0.25">
      <c r="B10" s="104" t="s">
        <v>254</v>
      </c>
      <c r="C10" s="104"/>
      <c r="D10" s="118">
        <v>-14.548999999999999</v>
      </c>
      <c r="E10" s="118">
        <v>-32.354999999999997</v>
      </c>
      <c r="F10" s="118">
        <v>4.8250000000000002</v>
      </c>
      <c r="G10" s="118">
        <v>-94.518000000000001</v>
      </c>
      <c r="H10" s="118">
        <v>-22.278999999999996</v>
      </c>
      <c r="I10" s="118">
        <v>-2.8960000000000079</v>
      </c>
      <c r="J10" s="118">
        <v>-5.0020000000000024</v>
      </c>
      <c r="K10" s="118">
        <v>-6.262999999999991</v>
      </c>
      <c r="L10" s="118">
        <v>-6.6280000000000001</v>
      </c>
      <c r="M10" s="118">
        <v>-3.7739999999999938</v>
      </c>
    </row>
    <row r="11" spans="2:13" ht="15.75" x14ac:dyDescent="0.25">
      <c r="B11" s="103" t="s">
        <v>216</v>
      </c>
      <c r="C11" s="104"/>
      <c r="D11" s="105">
        <f>SUM(D6:D10)</f>
        <v>-296.1049999999999</v>
      </c>
      <c r="E11" s="105">
        <f t="shared" ref="E11:M11" si="1">SUM(E6:E10)</f>
        <v>-55.418000000000042</v>
      </c>
      <c r="F11" s="105">
        <f t="shared" si="1"/>
        <v>211.35900000000004</v>
      </c>
      <c r="G11" s="105">
        <f t="shared" si="1"/>
        <v>1414.0300000000002</v>
      </c>
      <c r="H11" s="105">
        <f t="shared" si="1"/>
        <v>-554.04799999999989</v>
      </c>
      <c r="I11" s="105">
        <f t="shared" si="1"/>
        <v>-461.02099999999996</v>
      </c>
      <c r="J11" s="105">
        <f t="shared" si="1"/>
        <v>1285.652</v>
      </c>
      <c r="K11" s="105">
        <f t="shared" si="1"/>
        <v>1092.22</v>
      </c>
      <c r="L11" s="105">
        <f t="shared" si="1"/>
        <v>-729.86500000000001</v>
      </c>
      <c r="M11" s="105">
        <f t="shared" si="1"/>
        <v>346.59799999999996</v>
      </c>
    </row>
    <row r="12" spans="2:13" ht="8.1" customHeight="1" x14ac:dyDescent="0.25">
      <c r="B12" s="160"/>
      <c r="C12" s="160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2:13" ht="15.75" x14ac:dyDescent="0.25">
      <c r="B13" s="103" t="s">
        <v>255</v>
      </c>
      <c r="C13" s="160"/>
      <c r="D13" s="118"/>
      <c r="E13" s="118"/>
      <c r="F13" s="118"/>
      <c r="G13" s="105">
        <f>SUM(D11:G11)</f>
        <v>1273.8660000000002</v>
      </c>
      <c r="H13" s="105">
        <f t="shared" ref="H13:M13" si="2">SUM(E11:H11)</f>
        <v>1015.9230000000003</v>
      </c>
      <c r="I13" s="105">
        <f t="shared" si="2"/>
        <v>610.32000000000039</v>
      </c>
      <c r="J13" s="105">
        <f t="shared" si="2"/>
        <v>1684.6130000000003</v>
      </c>
      <c r="K13" s="105">
        <f t="shared" si="2"/>
        <v>1362.8030000000003</v>
      </c>
      <c r="L13" s="105">
        <f t="shared" si="2"/>
        <v>1186.9860000000001</v>
      </c>
      <c r="M13" s="105">
        <f t="shared" si="2"/>
        <v>1994.6050000000002</v>
      </c>
    </row>
    <row r="17" spans="2:13" ht="15.75" x14ac:dyDescent="0.25">
      <c r="B17" s="161" t="s">
        <v>256</v>
      </c>
      <c r="C17" s="160"/>
      <c r="D17" s="162" t="s">
        <v>239</v>
      </c>
      <c r="E17" s="162" t="s">
        <v>240</v>
      </c>
      <c r="F17" s="162" t="s">
        <v>241</v>
      </c>
      <c r="G17" s="162" t="s">
        <v>242</v>
      </c>
      <c r="H17" s="162" t="s">
        <v>243</v>
      </c>
      <c r="I17" s="162" t="s">
        <v>244</v>
      </c>
      <c r="J17" s="162" t="s">
        <v>245</v>
      </c>
      <c r="K17" s="162" t="s">
        <v>246</v>
      </c>
      <c r="L17" s="162" t="s">
        <v>247</v>
      </c>
      <c r="M17" s="162" t="s">
        <v>248</v>
      </c>
    </row>
    <row r="18" spans="2:13" ht="15" x14ac:dyDescent="0.25">
      <c r="B18" s="161" t="s">
        <v>257</v>
      </c>
      <c r="C18" s="163"/>
      <c r="D18" s="164">
        <v>1340.95</v>
      </c>
      <c r="E18" s="165">
        <f>+D37</f>
        <v>1223.8770000000002</v>
      </c>
      <c r="F18" s="165">
        <f t="shared" ref="F18:M18" si="3">+E37</f>
        <v>1015.3710000000002</v>
      </c>
      <c r="G18" s="165">
        <f t="shared" si="3"/>
        <v>1021.7030000000002</v>
      </c>
      <c r="H18" s="165">
        <f t="shared" si="3"/>
        <v>1229.6200000000003</v>
      </c>
      <c r="I18" s="165">
        <f t="shared" si="3"/>
        <v>733.99900000000059</v>
      </c>
      <c r="J18" s="165">
        <f t="shared" si="3"/>
        <v>645.89000000000067</v>
      </c>
      <c r="K18" s="165">
        <f t="shared" si="3"/>
        <v>856.23600000000056</v>
      </c>
      <c r="L18" s="165">
        <f t="shared" si="3"/>
        <v>1254.8900000000003</v>
      </c>
      <c r="M18" s="165">
        <f t="shared" si="3"/>
        <v>558.80000000000041</v>
      </c>
    </row>
    <row r="19" spans="2:13" ht="15" x14ac:dyDescent="0.25">
      <c r="B19" s="166" t="s">
        <v>6</v>
      </c>
      <c r="C19" s="163"/>
      <c r="D19" s="165">
        <f>(ROUND(SUMIFS('Nynas Group_Quarterly overview'!$C$12:$R$12,'Nynas Group_Quarterly overview'!$C$7:$R$7,VALUE(RIGHT(D$3,4)),'Nynas Group_Quarterly overview'!$C$6:$R$6,LEFT(D$3,2)),3))</f>
        <v>157.029</v>
      </c>
      <c r="E19" s="165">
        <f>(ROUND(SUMIFS('Nynas Group_Quarterly overview'!$C$12:$R$12,'Nynas Group_Quarterly overview'!$C$7:$R$7,VALUE(RIGHT(E$3,4)),'Nynas Group_Quarterly overview'!$C$6:$R$6,LEFT(E$3,2)),3))</f>
        <v>382.67</v>
      </c>
      <c r="F19" s="165">
        <f>(ROUND(SUMIFS('Nynas Group_Quarterly overview'!$C$12:$R$12,'Nynas Group_Quarterly overview'!$C$7:$R$7,VALUE(RIGHT(F$3,4)),'Nynas Group_Quarterly overview'!$C$6:$R$6,LEFT(F$3,2)),3))</f>
        <v>586.64800000000002</v>
      </c>
      <c r="G19" s="165">
        <f>(ROUND(SUMIFS('Nynas Group_Quarterly overview'!$C$12:$R$12,'Nynas Group_Quarterly overview'!$C$7:$R$7,VALUE(RIGHT(G$3,4)),'Nynas Group_Quarterly overview'!$C$6:$R$6,LEFT(G$3,2)),3))</f>
        <v>189.09</v>
      </c>
      <c r="H19" s="165">
        <f>(ROUND(SUMIFS('Nynas Group_Quarterly overview'!$C$12:$R$12,'Nynas Group_Quarterly overview'!$C$7:$R$7,VALUE(RIGHT(H$3,4)),'Nynas Group_Quarterly overview'!$C$6:$R$6,LEFT(H$3,2)),3))</f>
        <v>216.56</v>
      </c>
      <c r="I19" s="165">
        <f>(ROUND(SUMIFS('Nynas Group_Quarterly overview'!$C$12:$R$12,'Nynas Group_Quarterly overview'!$C$7:$R$7,VALUE(RIGHT(I$3,4)),'Nynas Group_Quarterly overview'!$C$6:$R$6,LEFT(I$3,2)),3))</f>
        <v>398.04</v>
      </c>
      <c r="J19" s="165">
        <f>(ROUND(SUMIFS('Nynas Group_Quarterly overview'!$C$12:$R$12,'Nynas Group_Quarterly overview'!$C$7:$R$7,VALUE(RIGHT(J$3,4)),'Nynas Group_Quarterly overview'!$C$6:$R$6,LEFT(J$3,2)),3))</f>
        <v>514.93399999999997</v>
      </c>
      <c r="K19" s="165">
        <f>(ROUND(SUMIFS('Nynas Group_Quarterly overview'!$C$12:$R$12,'Nynas Group_Quarterly overview'!$C$7:$R$7,VALUE(RIGHT(K$3,4)),'Nynas Group_Quarterly overview'!$C$6:$R$6,LEFT(K$3,2)),3))</f>
        <v>203.94300000000001</v>
      </c>
      <c r="L19" s="165">
        <f>(ROUND(SUMIFS('Nynas Group_Quarterly overview'!$C$12:$R$12,'Nynas Group_Quarterly overview'!$C$7:$R$7,VALUE(RIGHT(L$3,4)),'Nynas Group_Quarterly overview'!$C$6:$R$6,LEFT(L$3,2)),3))</f>
        <v>178.898</v>
      </c>
      <c r="M19" s="165">
        <f>(ROUND(SUMIFS('Nynas Group_Quarterly overview'!$C$12:$R$12,'Nynas Group_Quarterly overview'!$C$7:$R$7,VALUE(RIGHT(M$3,4)),'Nynas Group_Quarterly overview'!$C$6:$R$6,LEFT(M$3,2)),3))</f>
        <v>426.39699999999999</v>
      </c>
    </row>
    <row r="20" spans="2:13" ht="15" x14ac:dyDescent="0.25">
      <c r="B20" s="160" t="s">
        <v>258</v>
      </c>
      <c r="C20" s="160"/>
      <c r="D20" s="167">
        <v>-257.31099999999992</v>
      </c>
      <c r="E20" s="167">
        <v>-328.6930000000001</v>
      </c>
      <c r="F20" s="167">
        <v>-519.43100000000004</v>
      </c>
      <c r="G20" s="167">
        <v>1912.0309999999999</v>
      </c>
      <c r="H20" s="167">
        <v>-609.98799999999994</v>
      </c>
      <c r="I20" s="167">
        <v>-625.81100000000004</v>
      </c>
      <c r="J20" s="167">
        <v>1053.6990000000001</v>
      </c>
      <c r="K20" s="167">
        <v>902.80099999999982</v>
      </c>
      <c r="L20" s="167">
        <v>-609.71399999999994</v>
      </c>
      <c r="M20" s="167">
        <v>159.10200000000003</v>
      </c>
    </row>
    <row r="21" spans="2:13" ht="15" x14ac:dyDescent="0.25">
      <c r="B21" s="160" t="s">
        <v>259</v>
      </c>
      <c r="C21" s="160"/>
      <c r="D21" s="167">
        <v>8.9710000000000001</v>
      </c>
      <c r="E21" s="167">
        <v>-7.3000000000000007</v>
      </c>
      <c r="F21" s="167">
        <v>-0.90399999999999991</v>
      </c>
      <c r="G21" s="167">
        <v>-9.4929999999999986</v>
      </c>
      <c r="H21" s="167">
        <v>-1.137</v>
      </c>
      <c r="I21" s="167">
        <v>-3.7989999999999999</v>
      </c>
      <c r="J21" s="167">
        <v>-2.4389999999999992</v>
      </c>
      <c r="K21" s="167">
        <v>-13.518999999999998</v>
      </c>
      <c r="L21" s="167">
        <v>-3.8179999999999996</v>
      </c>
      <c r="M21" s="167">
        <v>-6.8390000000000004</v>
      </c>
    </row>
    <row r="22" spans="2:13" ht="15" x14ac:dyDescent="0.25">
      <c r="B22" s="168" t="s">
        <v>260</v>
      </c>
      <c r="C22" s="160"/>
      <c r="D22" s="167">
        <f>-(ROUND(SUMIFS('Nynas Group_Quarterly overview'!$C$297:$R$297,'Nynas Group_Quarterly overview'!$C$7:$R$7,VALUE(RIGHT(D$3,4)),'Nynas Group_Quarterly overview'!$C$6:$R$6,LEFT(D$3,2)),3))</f>
        <v>-23.712</v>
      </c>
      <c r="E22" s="167">
        <f>-(ROUND(SUMIFS('Nynas Group_Quarterly overview'!$C$297:$R$297,'Nynas Group_Quarterly overview'!$C$7:$R$7,VALUE(RIGHT(E$3,4)),'Nynas Group_Quarterly overview'!$C$6:$R$6,LEFT(E$3,2)),3))</f>
        <v>-43.103000000000002</v>
      </c>
      <c r="F22" s="167">
        <f>-(ROUND(SUMIFS('Nynas Group_Quarterly overview'!$C$297:$R$297,'Nynas Group_Quarterly overview'!$C$7:$R$7,VALUE(RIGHT(F$3,4)),'Nynas Group_Quarterly overview'!$C$6:$R$6,LEFT(F$3,2)),3))</f>
        <v>94.525000000000006</v>
      </c>
      <c r="G22" s="167">
        <f>-(ROUND(SUMIFS('Nynas Group_Quarterly overview'!$C$297:$R$297,'Nynas Group_Quarterly overview'!$C$7:$R$7,VALUE(RIGHT(G$3,4)),'Nynas Group_Quarterly overview'!$C$6:$R$6,LEFT(G$3,2)),3))</f>
        <v>-31.236000000000001</v>
      </c>
      <c r="H22" s="167">
        <f>-(ROUND(SUMIFS('Nynas Group_Quarterly overview'!$C$297:$R$297,'Nynas Group_Quarterly overview'!$C$7:$R$7,VALUE(RIGHT(H$3,4)),'Nynas Group_Quarterly overview'!$C$6:$R$6,LEFT(H$3,2)),3))</f>
        <v>-101.212</v>
      </c>
      <c r="I22" s="167">
        <f>-(ROUND(SUMIFS('Nynas Group_Quarterly overview'!$C$297:$R$297,'Nynas Group_Quarterly overview'!$C$7:$R$7,VALUE(RIGHT(I$3,4)),'Nynas Group_Quarterly overview'!$C$6:$R$6,LEFT(I$3,2)),3))</f>
        <v>-32.756999999999998</v>
      </c>
      <c r="J22" s="167">
        <f>-(ROUND(SUMIFS('Nynas Group_Quarterly overview'!$C$297:$R$297,'Nynas Group_Quarterly overview'!$C$7:$R$7,VALUE(RIGHT(J$3,4)),'Nynas Group_Quarterly overview'!$C$6:$R$6,LEFT(J$3,2)),3))</f>
        <v>-0.35199999999999998</v>
      </c>
      <c r="K22" s="167">
        <f>-(ROUND(SUMIFS('Nynas Group_Quarterly overview'!$C$297:$R$297,'Nynas Group_Quarterly overview'!$C$7:$R$7,VALUE(RIGHT(K$3,4)),'Nynas Group_Quarterly overview'!$C$6:$R$6,LEFT(K$3,2)),3))</f>
        <v>9.6479999999999997</v>
      </c>
      <c r="L22" s="167">
        <f>-(ROUND(SUMIFS('Nynas Group_Quarterly overview'!$C$297:$R$297,'Nynas Group_Quarterly overview'!$C$7:$R$7,VALUE(RIGHT(L$3,4)),'Nynas Group_Quarterly overview'!$C$6:$R$6,LEFT(L$3,2)),3))</f>
        <v>-12.397</v>
      </c>
      <c r="M22" s="167">
        <f>-(ROUND(SUMIFS('Nynas Group_Quarterly overview'!$C$297:$R$297,'Nynas Group_Quarterly overview'!$C$7:$R$7,VALUE(RIGHT(M$3,4)),'Nynas Group_Quarterly overview'!$C$6:$R$6,LEFT(M$3,2)),3))</f>
        <v>-129.49799999999999</v>
      </c>
    </row>
    <row r="23" spans="2:13" ht="15" x14ac:dyDescent="0.25">
      <c r="B23" s="168" t="s">
        <v>197</v>
      </c>
      <c r="C23" s="160"/>
      <c r="D23" s="167">
        <f>-(ROUND(SUMIFS('Nynas Group_Quarterly overview'!$C$295:$R$295,'Nynas Group_Quarterly overview'!$C$7:$R$7,VALUE(RIGHT(D$3,4)),'Nynas Group_Quarterly overview'!$C$6:$R$6,LEFT(D$3,2)),3))</f>
        <v>21.96</v>
      </c>
      <c r="E23" s="167">
        <f>-(ROUND(SUMIFS('Nynas Group_Quarterly overview'!$C$295:$R$295,'Nynas Group_Quarterly overview'!$C$7:$R$7,VALUE(RIGHT(E$3,4)),'Nynas Group_Quarterly overview'!$C$6:$R$6,LEFT(E$3,2)),3))</f>
        <v>40.301000000000002</v>
      </c>
      <c r="F23" s="167">
        <f>-(ROUND(SUMIFS('Nynas Group_Quarterly overview'!$C$295:$R$295,'Nynas Group_Quarterly overview'!$C$7:$R$7,VALUE(RIGHT(F$3,4)),'Nynas Group_Quarterly overview'!$C$6:$R$6,LEFT(F$3,2)),3))</f>
        <v>162.16900000000001</v>
      </c>
      <c r="G23" s="167">
        <f>-(ROUND(SUMIFS('Nynas Group_Quarterly overview'!$C$295:$R$295,'Nynas Group_Quarterly overview'!$C$7:$R$7,VALUE(RIGHT(G$3,4)),'Nynas Group_Quarterly overview'!$C$6:$R$6,LEFT(G$3,2)),3))</f>
        <v>-394.10899999999998</v>
      </c>
      <c r="H23" s="167">
        <f>-(ROUND(SUMIFS('Nynas Group_Quarterly overview'!$C$295:$R$295,'Nynas Group_Quarterly overview'!$C$7:$R$7,VALUE(RIGHT(H$3,4)),'Nynas Group_Quarterly overview'!$C$6:$R$6,LEFT(H$3,2)),3))</f>
        <v>23.338000000000001</v>
      </c>
      <c r="I23" s="167">
        <f>-(ROUND(SUMIFS('Nynas Group_Quarterly overview'!$C$295:$R$295,'Nynas Group_Quarterly overview'!$C$7:$R$7,VALUE(RIGHT(I$3,4)),'Nynas Group_Quarterly overview'!$C$6:$R$6,LEFT(I$3,2)),3))</f>
        <v>57.473999999999997</v>
      </c>
      <c r="J23" s="167">
        <f>-(ROUND(SUMIFS('Nynas Group_Quarterly overview'!$C$295:$R$295,'Nynas Group_Quarterly overview'!$C$7:$R$7,VALUE(RIGHT(J$3,4)),'Nynas Group_Quarterly overview'!$C$6:$R$6,LEFT(J$3,2)),3))</f>
        <v>1.7230000000000001</v>
      </c>
      <c r="K23" s="167">
        <f>-(ROUND(SUMIFS('Nynas Group_Quarterly overview'!$C$295:$R$295,'Nynas Group_Quarterly overview'!$C$7:$R$7,VALUE(RIGHT(K$3,4)),'Nynas Group_Quarterly overview'!$C$6:$R$6,LEFT(K$3,2)),3))</f>
        <v>-52.796999999999997</v>
      </c>
      <c r="L23" s="167">
        <f>-(ROUND(SUMIFS('Nynas Group_Quarterly overview'!$C$295:$R$295,'Nynas Group_Quarterly overview'!$C$7:$R$7,VALUE(RIGHT(L$3,4)),'Nynas Group_Quarterly overview'!$C$6:$R$6,LEFT(L$3,2)),3))</f>
        <v>-46.109000000000002</v>
      </c>
      <c r="M23" s="167">
        <f>-(ROUND(SUMIFS('Nynas Group_Quarterly overview'!$C$295:$R$295,'Nynas Group_Quarterly overview'!$C$7:$R$7,VALUE(RIGHT(M$3,4)),'Nynas Group_Quarterly overview'!$C$6:$R$6,LEFT(M$3,2)),3))</f>
        <v>4.1849999999999996</v>
      </c>
    </row>
    <row r="24" spans="2:13" ht="15" x14ac:dyDescent="0.25">
      <c r="B24" s="168" t="s">
        <v>261</v>
      </c>
      <c r="C24" s="160"/>
      <c r="D24" s="167">
        <f>-(ROUND(SUMIFS('Nynas Group_Quarterly overview'!$C$296:$R$296,'Nynas Group_Quarterly overview'!$C$7:$R$7,VALUE(RIGHT(D$3,4)),'Nynas Group_Quarterly overview'!$C$6:$R$6,LEFT(D$3,2)),3))</f>
        <v>-9.6609999999999996</v>
      </c>
      <c r="E24" s="167">
        <f>-(ROUND(SUMIFS('Nynas Group_Quarterly overview'!$C$296:$R$296,'Nynas Group_Quarterly overview'!$C$7:$R$7,VALUE(RIGHT(E$3,4)),'Nynas Group_Quarterly overview'!$C$6:$R$6,LEFT(E$3,2)),3))</f>
        <v>31.241</v>
      </c>
      <c r="F24" s="167">
        <f>-(ROUND(SUMIFS('Nynas Group_Quarterly overview'!$C$296:$R$296,'Nynas Group_Quarterly overview'!$C$7:$R$7,VALUE(RIGHT(F$3,4)),'Nynas Group_Quarterly overview'!$C$6:$R$6,LEFT(F$3,2)),3))</f>
        <v>-32.369</v>
      </c>
      <c r="G24" s="167">
        <f>-(ROUND(SUMIFS('Nynas Group_Quarterly overview'!$C$296:$R$296,'Nynas Group_Quarterly overview'!$C$7:$R$7,VALUE(RIGHT(G$3,4)),'Nynas Group_Quarterly overview'!$C$6:$R$6,LEFT(G$3,2)),3))</f>
        <v>-113.601</v>
      </c>
      <c r="H24" s="167">
        <f>-(ROUND(SUMIFS('Nynas Group_Quarterly overview'!$C$296:$R$296,'Nynas Group_Quarterly overview'!$C$7:$R$7,VALUE(RIGHT(H$3,4)),'Nynas Group_Quarterly overview'!$C$6:$R$6,LEFT(H$3,2)),3))</f>
        <v>25.655000000000001</v>
      </c>
      <c r="I24" s="167">
        <f>-(ROUND(SUMIFS('Nynas Group_Quarterly overview'!$C$296:$R$296,'Nynas Group_Quarterly overview'!$C$7:$R$7,VALUE(RIGHT(I$3,4)),'Nynas Group_Quarterly overview'!$C$6:$R$6,LEFT(I$3,2)),3))</f>
        <v>-36.972000000000001</v>
      </c>
      <c r="J24" s="167">
        <f>-(ROUND(SUMIFS('Nynas Group_Quarterly overview'!$C$296:$R$296,'Nynas Group_Quarterly overview'!$C$7:$R$7,VALUE(RIGHT(J$3,4)),'Nynas Group_Quarterly overview'!$C$6:$R$6,LEFT(J$3,2)),3))</f>
        <v>-42.542000000000002</v>
      </c>
      <c r="K24" s="167">
        <f>-(ROUND(SUMIFS('Nynas Group_Quarterly overview'!$C$296:$R$296,'Nynas Group_Quarterly overview'!$C$7:$R$7,VALUE(RIGHT(K$3,4)),'Nynas Group_Quarterly overview'!$C$6:$R$6,LEFT(K$3,2)),3))</f>
        <v>42.220999999999997</v>
      </c>
      <c r="L24" s="167">
        <f>-(ROUND(SUMIFS('Nynas Group_Quarterly overview'!$C$296:$R$296,'Nynas Group_Quarterly overview'!$C$7:$R$7,VALUE(RIGHT(L$3,4)),'Nynas Group_Quarterly overview'!$C$6:$R$6,LEFT(L$3,2)),3))</f>
        <v>-90.135999999999996</v>
      </c>
      <c r="M24" s="167">
        <f>-(ROUND(SUMIFS('Nynas Group_Quarterly overview'!$C$296:$R$296,'Nynas Group_Quarterly overview'!$C$7:$R$7,VALUE(RIGHT(M$3,4)),'Nynas Group_Quarterly overview'!$C$6:$R$6,LEFT(M$3,2)),3))</f>
        <v>-30.963999999999999</v>
      </c>
    </row>
    <row r="25" spans="2:13" ht="15" x14ac:dyDescent="0.25">
      <c r="B25" s="168" t="s">
        <v>262</v>
      </c>
      <c r="C25" s="160"/>
      <c r="D25" s="167">
        <f>+D7</f>
        <v>-75.704999999999998</v>
      </c>
      <c r="E25" s="167">
        <f t="shared" ref="E25:M25" si="4">+E7</f>
        <v>-76.215000000000003</v>
      </c>
      <c r="F25" s="167">
        <f t="shared" si="4"/>
        <v>-75.84</v>
      </c>
      <c r="G25" s="167">
        <f t="shared" si="4"/>
        <v>-73.540000000000006</v>
      </c>
      <c r="H25" s="167">
        <f t="shared" si="4"/>
        <v>-76.206000000000003</v>
      </c>
      <c r="I25" s="167">
        <f t="shared" si="4"/>
        <v>-78.319000000000003</v>
      </c>
      <c r="J25" s="167">
        <f t="shared" si="4"/>
        <v>-76.287000000000006</v>
      </c>
      <c r="K25" s="167">
        <f t="shared" si="4"/>
        <v>-47.515000000000001</v>
      </c>
      <c r="L25" s="167">
        <f t="shared" si="4"/>
        <v>-70.141000000000005</v>
      </c>
      <c r="M25" s="167">
        <f t="shared" si="4"/>
        <v>-70.802999999999997</v>
      </c>
    </row>
    <row r="26" spans="2:13" ht="15" x14ac:dyDescent="0.25">
      <c r="B26" s="168" t="s">
        <v>263</v>
      </c>
      <c r="C26" s="160"/>
      <c r="D26" s="167">
        <v>-21.565999999999999</v>
      </c>
      <c r="E26" s="167">
        <v>-23.353999999999999</v>
      </c>
      <c r="F26" s="167">
        <v>-11.311999999999999</v>
      </c>
      <c r="G26" s="167">
        <v>-13.2</v>
      </c>
      <c r="H26" s="167">
        <v>-11.847</v>
      </c>
      <c r="I26" s="167">
        <v>-22.468</v>
      </c>
      <c r="J26" s="167">
        <v>-80.778999999999996</v>
      </c>
      <c r="K26" s="167">
        <v>-0.71599999999999997</v>
      </c>
      <c r="L26" s="167">
        <v>2.327</v>
      </c>
      <c r="M26" s="167">
        <v>1.7250000000000001</v>
      </c>
    </row>
    <row r="27" spans="2:13" ht="15" x14ac:dyDescent="0.25">
      <c r="B27" s="168" t="s">
        <v>264</v>
      </c>
      <c r="C27" s="160"/>
      <c r="D27" s="167">
        <v>-96.109999999999985</v>
      </c>
      <c r="E27" s="167">
        <v>-30.964999999999968</v>
      </c>
      <c r="F27" s="167">
        <v>7.8730000000000189</v>
      </c>
      <c r="G27" s="167">
        <v>-51.912000000000035</v>
      </c>
      <c r="H27" s="167">
        <v>-19.211000000000013</v>
      </c>
      <c r="I27" s="167">
        <v>-116.40899999999993</v>
      </c>
      <c r="J27" s="167">
        <v>-82.304999999999836</v>
      </c>
      <c r="K27" s="167">
        <v>48.154000000000224</v>
      </c>
      <c r="L27" s="167">
        <v>-78.775000000000205</v>
      </c>
      <c r="M27" s="167">
        <v>-6.7070000000000505</v>
      </c>
    </row>
    <row r="28" spans="2:13" ht="15" x14ac:dyDescent="0.25">
      <c r="B28" s="166" t="s">
        <v>216</v>
      </c>
      <c r="C28" s="163"/>
      <c r="D28" s="165">
        <f>SUM(D19:D27)</f>
        <v>-296.1049999999999</v>
      </c>
      <c r="E28" s="165">
        <f t="shared" ref="E28:M28" si="5">SUM(E19:E27)</f>
        <v>-55.418000000000042</v>
      </c>
      <c r="F28" s="165">
        <f t="shared" si="5"/>
        <v>211.35900000000004</v>
      </c>
      <c r="G28" s="165">
        <f t="shared" si="5"/>
        <v>1414.0300000000002</v>
      </c>
      <c r="H28" s="165">
        <f t="shared" si="5"/>
        <v>-554.04799999999989</v>
      </c>
      <c r="I28" s="165">
        <f t="shared" si="5"/>
        <v>-461.02099999999996</v>
      </c>
      <c r="J28" s="165">
        <f t="shared" si="5"/>
        <v>1285.652</v>
      </c>
      <c r="K28" s="165">
        <f t="shared" si="5"/>
        <v>1092.22</v>
      </c>
      <c r="L28" s="165">
        <f t="shared" si="5"/>
        <v>-729.86500000000001</v>
      </c>
      <c r="M28" s="165">
        <f t="shared" si="5"/>
        <v>346.59799999999996</v>
      </c>
    </row>
    <row r="29" spans="2:13" ht="15" x14ac:dyDescent="0.25">
      <c r="B29" s="160"/>
      <c r="C29" s="160"/>
      <c r="D29" s="169"/>
      <c r="E29" s="169"/>
      <c r="F29" s="169"/>
      <c r="G29" s="169"/>
      <c r="H29" s="169"/>
      <c r="I29" s="169"/>
      <c r="J29" s="169"/>
      <c r="K29" s="169"/>
      <c r="L29" s="169"/>
      <c r="M29" s="169"/>
    </row>
    <row r="30" spans="2:13" ht="15" x14ac:dyDescent="0.25">
      <c r="B30" s="160" t="s">
        <v>265</v>
      </c>
      <c r="C30" s="160"/>
      <c r="D30" s="167">
        <f>(-ROUND(SUMIFS('Nynas Group_Quarterly overview'!$C$22:$R$22,'Nynas Group_Quarterly overview'!$C$7:$R$7,VALUE(RIGHT(D$3,4)),'Nynas Group_Quarterly overview'!$C$6:$R$6,LEFT(D$3,2)),3))+(-ROUND(SUMIFS('Nynas Group_Quarterly overview'!$C$23:$R$23,'Nynas Group_Quarterly overview'!$C$7:$R$7,VALUE(RIGHT(D$3,4)),'Nynas Group_Quarterly overview'!$C$6:$R$6,LEFT(D$3,2)),3))+(-ROUND(SUMIFS('Nynas Group_Quarterly overview'!$C$24:$R$24,'Nynas Group_Quarterly overview'!$C$7:$R$7,VALUE(RIGHT(D$3,4)),'Nynas Group_Quarterly overview'!$C$6:$R$6,LEFT(D$3,2)),3))</f>
        <v>-52.847000000000001</v>
      </c>
      <c r="E30" s="167">
        <f>(-ROUND(SUMIFS('Nynas Group_Quarterly overview'!$C$22:$R$22,'Nynas Group_Quarterly overview'!$C$7:$R$7,VALUE(RIGHT(E$3,4)),'Nynas Group_Quarterly overview'!$C$6:$R$6,LEFT(E$3,2)),3))+(-ROUND(SUMIFS('Nynas Group_Quarterly overview'!$C$23:$R$23,'Nynas Group_Quarterly overview'!$C$7:$R$7,VALUE(RIGHT(E$3,4)),'Nynas Group_Quarterly overview'!$C$6:$R$6,LEFT(E$3,2)),3))+(-ROUND(SUMIFS('Nynas Group_Quarterly overview'!$C$24:$R$24,'Nynas Group_Quarterly overview'!$C$7:$R$7,VALUE(RIGHT(E$3,4)),'Nynas Group_Quarterly overview'!$C$6:$R$6,LEFT(E$3,2)),3))</f>
        <v>-68.427999999999997</v>
      </c>
      <c r="F30" s="167">
        <f>(-ROUND(SUMIFS('Nynas Group_Quarterly overview'!$C$22:$R$22,'Nynas Group_Quarterly overview'!$C$7:$R$7,VALUE(RIGHT(F$3,4)),'Nynas Group_Quarterly overview'!$C$6:$R$6,LEFT(F$3,2)),3))+(-ROUND(SUMIFS('Nynas Group_Quarterly overview'!$C$23:$R$23,'Nynas Group_Quarterly overview'!$C$7:$R$7,VALUE(RIGHT(F$3,4)),'Nynas Group_Quarterly overview'!$C$6:$R$6,LEFT(F$3,2)),3))+(-ROUND(SUMIFS('Nynas Group_Quarterly overview'!$C$24:$R$24,'Nynas Group_Quarterly overview'!$C$7:$R$7,VALUE(RIGHT(F$3,4)),'Nynas Group_Quarterly overview'!$C$6:$R$6,LEFT(F$3,2)),3))</f>
        <v>-103.142</v>
      </c>
      <c r="G30" s="167">
        <f>(-ROUND(SUMIFS('Nynas Group_Quarterly overview'!$C$22:$R$22,'Nynas Group_Quarterly overview'!$C$7:$R$7,VALUE(RIGHT(G$3,4)),'Nynas Group_Quarterly overview'!$C$6:$R$6,LEFT(G$3,2)),3))+(-ROUND(SUMIFS('Nynas Group_Quarterly overview'!$C$23:$R$23,'Nynas Group_Quarterly overview'!$C$7:$R$7,VALUE(RIGHT(G$3,4)),'Nynas Group_Quarterly overview'!$C$6:$R$6,LEFT(G$3,2)),3))+(-ROUND(SUMIFS('Nynas Group_Quarterly overview'!$C$24:$R$24,'Nynas Group_Quarterly overview'!$C$7:$R$7,VALUE(RIGHT(G$3,4)),'Nynas Group_Quarterly overview'!$C$6:$R$6,LEFT(G$3,2)),3))</f>
        <v>-360.04399999999998</v>
      </c>
      <c r="H30" s="167">
        <f>(-ROUND(SUMIFS('Nynas Group_Quarterly overview'!$C$22:$R$22,'Nynas Group_Quarterly overview'!$C$7:$R$7,VALUE(RIGHT(H$3,4)),'Nynas Group_Quarterly overview'!$C$6:$R$6,LEFT(H$3,2)),3))+(-ROUND(SUMIFS('Nynas Group_Quarterly overview'!$C$23:$R$23,'Nynas Group_Quarterly overview'!$C$7:$R$7,VALUE(RIGHT(H$3,4)),'Nynas Group_Quarterly overview'!$C$6:$R$6,LEFT(H$3,2)),3))+(-ROUND(SUMIFS('Nynas Group_Quarterly overview'!$C$24:$R$24,'Nynas Group_Quarterly overview'!$C$7:$R$7,VALUE(RIGHT(H$3,4)),'Nynas Group_Quarterly overview'!$C$6:$R$6,LEFT(H$3,2)),3))</f>
        <v>-75.396000000000001</v>
      </c>
      <c r="I30" s="167">
        <f>(-ROUND(SUMIFS('Nynas Group_Quarterly overview'!$C$22:$R$22,'Nynas Group_Quarterly overview'!$C$7:$R$7,VALUE(RIGHT(I$3,4)),'Nynas Group_Quarterly overview'!$C$6:$R$6,LEFT(I$3,2)),3))+(-ROUND(SUMIFS('Nynas Group_Quarterly overview'!$C$23:$R$23,'Nynas Group_Quarterly overview'!$C$7:$R$7,VALUE(RIGHT(I$3,4)),'Nynas Group_Quarterly overview'!$C$6:$R$6,LEFT(I$3,2)),3))+(-ROUND(SUMIFS('Nynas Group_Quarterly overview'!$C$24:$R$24,'Nynas Group_Quarterly overview'!$C$7:$R$7,VALUE(RIGHT(I$3,4)),'Nynas Group_Quarterly overview'!$C$6:$R$6,LEFT(I$3,2)),3))</f>
        <v>-52.881999999999998</v>
      </c>
      <c r="J30" s="167">
        <f>(-ROUND(SUMIFS('Nynas Group_Quarterly overview'!$C$22:$R$22,'Nynas Group_Quarterly overview'!$C$7:$R$7,VALUE(RIGHT(J$3,4)),'Nynas Group_Quarterly overview'!$C$6:$R$6,LEFT(J$3,2)),3))+(-ROUND(SUMIFS('Nynas Group_Quarterly overview'!$C$23:$R$23,'Nynas Group_Quarterly overview'!$C$7:$R$7,VALUE(RIGHT(J$3,4)),'Nynas Group_Quarterly overview'!$C$6:$R$6,LEFT(J$3,2)),3))+(-ROUND(SUMIFS('Nynas Group_Quarterly overview'!$C$24:$R$24,'Nynas Group_Quarterly overview'!$C$7:$R$7,VALUE(RIGHT(J$3,4)),'Nynas Group_Quarterly overview'!$C$6:$R$6,LEFT(J$3,2)),3))</f>
        <v>-65.42</v>
      </c>
      <c r="K30" s="167">
        <f>(-ROUND(SUMIFS('Nynas Group_Quarterly overview'!$C$22:$R$22,'Nynas Group_Quarterly overview'!$C$7:$R$7,VALUE(RIGHT(K$3,4)),'Nynas Group_Quarterly overview'!$C$6:$R$6,LEFT(K$3,2)),3))+(-ROUND(SUMIFS('Nynas Group_Quarterly overview'!$C$23:$R$23,'Nynas Group_Quarterly overview'!$C$7:$R$7,VALUE(RIGHT(K$3,4)),'Nynas Group_Quarterly overview'!$C$6:$R$6,LEFT(K$3,2)),3))+(-ROUND(SUMIFS('Nynas Group_Quarterly overview'!$C$24:$R$24,'Nynas Group_Quarterly overview'!$C$7:$R$7,VALUE(RIGHT(K$3,4)),'Nynas Group_Quarterly overview'!$C$6:$R$6,LEFT(K$3,2)),3))</f>
        <v>-154.56400000000002</v>
      </c>
      <c r="L30" s="167">
        <f>(-ROUND(SUMIFS('Nynas Group_Quarterly overview'!$C$22:$R$22,'Nynas Group_Quarterly overview'!$C$7:$R$7,VALUE(RIGHT(L$3,4)),'Nynas Group_Quarterly overview'!$C$6:$R$6,LEFT(L$3,2)),3))+(-ROUND(SUMIFS('Nynas Group_Quarterly overview'!$C$23:$R$23,'Nynas Group_Quarterly overview'!$C$7:$R$7,VALUE(RIGHT(L$3,4)),'Nynas Group_Quarterly overview'!$C$6:$R$6,LEFT(L$3,2)),3))+(-ROUND(SUMIFS('Nynas Group_Quarterly overview'!$C$24:$R$24,'Nynas Group_Quarterly overview'!$C$7:$R$7,VALUE(RIGHT(L$3,4)),'Nynas Group_Quarterly overview'!$C$6:$R$6,LEFT(L$3,2)),3))</f>
        <v>-78.405000000000001</v>
      </c>
      <c r="M30" s="167">
        <f>(-ROUND(SUMIFS('Nynas Group_Quarterly overview'!$C$22:$R$22,'Nynas Group_Quarterly overview'!$C$7:$R$7,VALUE(RIGHT(M$3,4)),'Nynas Group_Quarterly overview'!$C$6:$R$6,LEFT(M$3,2)),3))+(-ROUND(SUMIFS('Nynas Group_Quarterly overview'!$C$23:$R$23,'Nynas Group_Quarterly overview'!$C$7:$R$7,VALUE(RIGHT(M$3,4)),'Nynas Group_Quarterly overview'!$C$6:$R$6,LEFT(M$3,2)),3))+(-ROUND(SUMIFS('Nynas Group_Quarterly overview'!$C$24:$R$24,'Nynas Group_Quarterly overview'!$C$7:$R$7,VALUE(RIGHT(M$3,4)),'Nynas Group_Quarterly overview'!$C$6:$R$6,LEFT(M$3,2)),3))</f>
        <v>-78.225000000000009</v>
      </c>
    </row>
    <row r="31" spans="2:13" ht="15" x14ac:dyDescent="0.25">
      <c r="B31" s="160" t="s">
        <v>266</v>
      </c>
      <c r="C31" s="160"/>
      <c r="D31" s="167">
        <f>-D8</f>
        <v>-53.900000000000006</v>
      </c>
      <c r="E31" s="167">
        <f t="shared" ref="E31:M31" si="6">-E8</f>
        <v>-10.399999999999991</v>
      </c>
      <c r="F31" s="167">
        <f t="shared" si="6"/>
        <v>-39.000000000000014</v>
      </c>
      <c r="G31" s="167">
        <f t="shared" si="6"/>
        <v>-31.400000000000006</v>
      </c>
      <c r="H31" s="167">
        <f t="shared" si="6"/>
        <v>-29.3</v>
      </c>
      <c r="I31" s="167">
        <f t="shared" si="6"/>
        <v>-51.100000000000009</v>
      </c>
      <c r="J31" s="167">
        <f t="shared" si="6"/>
        <v>-44.399999999999991</v>
      </c>
      <c r="K31" s="167">
        <f t="shared" si="6"/>
        <v>-28.700000000000003</v>
      </c>
      <c r="L31" s="167">
        <f t="shared" si="6"/>
        <v>-33.5</v>
      </c>
      <c r="M31" s="167">
        <f t="shared" si="6"/>
        <v>-262.89999999999998</v>
      </c>
    </row>
    <row r="32" spans="2:13" ht="15" x14ac:dyDescent="0.25">
      <c r="B32" s="168" t="s">
        <v>267</v>
      </c>
      <c r="C32" s="160"/>
      <c r="D32" s="167">
        <v>0</v>
      </c>
      <c r="E32" s="167">
        <v>0</v>
      </c>
      <c r="F32" s="167">
        <v>0</v>
      </c>
      <c r="G32" s="167">
        <v>0</v>
      </c>
      <c r="H32" s="167">
        <v>26.335999999999999</v>
      </c>
      <c r="I32" s="167">
        <v>0</v>
      </c>
      <c r="J32" s="167">
        <v>-26.335999999999999</v>
      </c>
      <c r="K32" s="167">
        <v>0</v>
      </c>
      <c r="L32" s="167">
        <v>0</v>
      </c>
      <c r="M32" s="167">
        <v>-77.147999999999996</v>
      </c>
    </row>
    <row r="33" spans="2:13" ht="15" x14ac:dyDescent="0.25">
      <c r="B33" s="168" t="s">
        <v>268</v>
      </c>
      <c r="C33" s="160"/>
      <c r="D33" s="167">
        <v>463.67899999999997</v>
      </c>
      <c r="E33" s="167">
        <v>113.49299999999999</v>
      </c>
      <c r="F33" s="167">
        <v>202.15100000000001</v>
      </c>
      <c r="G33" s="167">
        <v>-604.88800000000003</v>
      </c>
      <c r="H33" s="167">
        <v>273.46600000000001</v>
      </c>
      <c r="I33" s="167">
        <v>619.71600000000001</v>
      </c>
      <c r="J33" s="167">
        <v>-823.56799999999998</v>
      </c>
      <c r="K33" s="167">
        <v>-293.73899999999998</v>
      </c>
      <c r="L33" s="167">
        <v>273.98700000000002</v>
      </c>
      <c r="M33" s="167">
        <v>833.63900000000001</v>
      </c>
    </row>
    <row r="34" spans="2:13" ht="15" x14ac:dyDescent="0.25">
      <c r="B34" s="160" t="s">
        <v>269</v>
      </c>
      <c r="C34" s="160"/>
      <c r="D34" s="167">
        <v>-192.429</v>
      </c>
      <c r="E34" s="167">
        <v>-200.70499999999996</v>
      </c>
      <c r="F34" s="167">
        <v>-238.45100000000002</v>
      </c>
      <c r="G34" s="167">
        <v>-160.17400000000006</v>
      </c>
      <c r="H34" s="167">
        <v>-155.62700000000001</v>
      </c>
      <c r="I34" s="167">
        <v>-133.96199999999999</v>
      </c>
      <c r="J34" s="167">
        <v>-107.85299999999998</v>
      </c>
      <c r="K34" s="167">
        <v>-219.23100000000002</v>
      </c>
      <c r="L34" s="167">
        <v>-110.67699999999999</v>
      </c>
      <c r="M34" s="167">
        <v>-88.586999999999989</v>
      </c>
    </row>
    <row r="35" spans="2:13" ht="15" x14ac:dyDescent="0.25">
      <c r="B35" s="166" t="s">
        <v>270</v>
      </c>
      <c r="C35" s="163"/>
      <c r="D35" s="165">
        <f>SUM(D28:D34)</f>
        <v>-131.60199999999989</v>
      </c>
      <c r="E35" s="165">
        <f t="shared" ref="E35:M35" si="7">SUM(E28:E34)</f>
        <v>-221.458</v>
      </c>
      <c r="F35" s="165">
        <f t="shared" si="7"/>
        <v>32.91700000000003</v>
      </c>
      <c r="G35" s="165">
        <f t="shared" si="7"/>
        <v>257.52400000000023</v>
      </c>
      <c r="H35" s="165">
        <f t="shared" si="7"/>
        <v>-514.56899999999973</v>
      </c>
      <c r="I35" s="165">
        <f t="shared" si="7"/>
        <v>-79.24899999999991</v>
      </c>
      <c r="J35" s="165">
        <f t="shared" si="7"/>
        <v>218.0749999999999</v>
      </c>
      <c r="K35" s="165">
        <f t="shared" si="7"/>
        <v>395.98599999999988</v>
      </c>
      <c r="L35" s="165">
        <f t="shared" si="7"/>
        <v>-678.45999999999992</v>
      </c>
      <c r="M35" s="165">
        <f t="shared" si="7"/>
        <v>673.37699999999995</v>
      </c>
    </row>
    <row r="36" spans="2:13" ht="15" x14ac:dyDescent="0.25">
      <c r="B36" s="160" t="s">
        <v>192</v>
      </c>
      <c r="C36" s="160"/>
      <c r="D36" s="167">
        <v>14.529</v>
      </c>
      <c r="E36" s="167">
        <v>12.952</v>
      </c>
      <c r="F36" s="167">
        <v>-26.585000000000001</v>
      </c>
      <c r="G36" s="167">
        <v>-49.606999999999999</v>
      </c>
      <c r="H36" s="167">
        <v>18.948</v>
      </c>
      <c r="I36" s="167">
        <v>-8.86</v>
      </c>
      <c r="J36" s="167">
        <v>-7.7290000000000001</v>
      </c>
      <c r="K36" s="167">
        <v>2.6680000000000001</v>
      </c>
      <c r="L36" s="167">
        <v>-17.63</v>
      </c>
      <c r="M36" s="167">
        <v>-2.9820000000000002</v>
      </c>
    </row>
    <row r="37" spans="2:13" ht="15" x14ac:dyDescent="0.25">
      <c r="B37" s="166" t="s">
        <v>271</v>
      </c>
      <c r="C37" s="163"/>
      <c r="D37" s="165">
        <f>D18+SUM(D35:D36)</f>
        <v>1223.8770000000002</v>
      </c>
      <c r="E37" s="165">
        <f t="shared" ref="E37:M37" si="8">E18+SUM(E35:E36)</f>
        <v>1015.3710000000002</v>
      </c>
      <c r="F37" s="165">
        <f t="shared" si="8"/>
        <v>1021.7030000000002</v>
      </c>
      <c r="G37" s="165">
        <f t="shared" si="8"/>
        <v>1229.6200000000003</v>
      </c>
      <c r="H37" s="165">
        <f t="shared" si="8"/>
        <v>733.99900000000059</v>
      </c>
      <c r="I37" s="165">
        <f t="shared" si="8"/>
        <v>645.89000000000067</v>
      </c>
      <c r="J37" s="165">
        <f t="shared" si="8"/>
        <v>856.23600000000056</v>
      </c>
      <c r="K37" s="165">
        <f t="shared" si="8"/>
        <v>1254.8900000000003</v>
      </c>
      <c r="L37" s="165">
        <f t="shared" si="8"/>
        <v>558.80000000000041</v>
      </c>
      <c r="M37" s="165">
        <f t="shared" si="8"/>
        <v>1229.1950000000004</v>
      </c>
    </row>
    <row r="38" spans="2:13" x14ac:dyDescent="0.2">
      <c r="D38" s="102"/>
      <c r="E38" s="102"/>
      <c r="F38" s="102"/>
      <c r="G38" s="102"/>
      <c r="H38" s="102"/>
      <c r="I38" s="102"/>
      <c r="J38" s="102"/>
      <c r="K38" s="102"/>
      <c r="L38" s="102"/>
      <c r="M38" s="102"/>
    </row>
    <row r="40" spans="2:13" ht="15.75" x14ac:dyDescent="0.25">
      <c r="B40" s="161" t="s">
        <v>272</v>
      </c>
      <c r="C40" s="160"/>
      <c r="D40" s="162" t="s">
        <v>239</v>
      </c>
      <c r="E40" s="162" t="s">
        <v>240</v>
      </c>
      <c r="F40" s="162" t="s">
        <v>241</v>
      </c>
      <c r="G40" s="162" t="s">
        <v>242</v>
      </c>
      <c r="H40" s="162" t="s">
        <v>243</v>
      </c>
      <c r="I40" s="162" t="s">
        <v>244</v>
      </c>
      <c r="J40" s="162" t="s">
        <v>245</v>
      </c>
      <c r="K40" s="162" t="s">
        <v>246</v>
      </c>
      <c r="L40" s="162" t="s">
        <v>247</v>
      </c>
      <c r="M40" s="162" t="s">
        <v>248</v>
      </c>
    </row>
    <row r="41" spans="2:13" ht="15" x14ac:dyDescent="0.25">
      <c r="B41" s="166" t="s">
        <v>273</v>
      </c>
      <c r="C41" s="163"/>
      <c r="D41" s="164">
        <v>4506.2879999999996</v>
      </c>
      <c r="E41" s="165">
        <f>+D47</f>
        <v>5252.704999999999</v>
      </c>
      <c r="F41" s="165">
        <v>5787.9350000000004</v>
      </c>
      <c r="G41" s="165">
        <v>5815.5</v>
      </c>
      <c r="H41" s="165">
        <v>4719.1409999999996</v>
      </c>
      <c r="I41" s="165">
        <v>5951.0910000000003</v>
      </c>
      <c r="J41" s="165">
        <v>6518.665</v>
      </c>
      <c r="K41" s="165">
        <v>5396.9679999999998</v>
      </c>
      <c r="L41" s="165">
        <v>4835.3459999999995</v>
      </c>
      <c r="M41" s="165">
        <v>5780.6019999999999</v>
      </c>
    </row>
    <row r="42" spans="2:13" ht="15" x14ac:dyDescent="0.25">
      <c r="B42" s="160" t="s">
        <v>268</v>
      </c>
      <c r="C42" s="160"/>
      <c r="D42" s="172">
        <f>+D33</f>
        <v>463.67899999999997</v>
      </c>
      <c r="E42" s="172">
        <f t="shared" ref="E42:M42" si="9">+E33</f>
        <v>113.49299999999999</v>
      </c>
      <c r="F42" s="172">
        <f t="shared" si="9"/>
        <v>202.15100000000001</v>
      </c>
      <c r="G42" s="172">
        <f t="shared" si="9"/>
        <v>-604.88800000000003</v>
      </c>
      <c r="H42" s="172">
        <f t="shared" si="9"/>
        <v>273.46600000000001</v>
      </c>
      <c r="I42" s="172">
        <f t="shared" si="9"/>
        <v>619.71600000000001</v>
      </c>
      <c r="J42" s="172">
        <f t="shared" si="9"/>
        <v>-823.56799999999998</v>
      </c>
      <c r="K42" s="172">
        <f t="shared" si="9"/>
        <v>-293.73899999999998</v>
      </c>
      <c r="L42" s="172">
        <f t="shared" si="9"/>
        <v>273.98700000000002</v>
      </c>
      <c r="M42" s="172">
        <f t="shared" si="9"/>
        <v>833.63900000000001</v>
      </c>
    </row>
    <row r="43" spans="2:13" ht="15" x14ac:dyDescent="0.25">
      <c r="B43" s="160" t="s">
        <v>262</v>
      </c>
      <c r="C43" s="160"/>
      <c r="D43" s="172">
        <f>+D7</f>
        <v>-75.704999999999998</v>
      </c>
      <c r="E43" s="172">
        <f t="shared" ref="E43:M43" si="10">+E7</f>
        <v>-76.215000000000003</v>
      </c>
      <c r="F43" s="172">
        <f t="shared" si="10"/>
        <v>-75.84</v>
      </c>
      <c r="G43" s="172">
        <f t="shared" si="10"/>
        <v>-73.540000000000006</v>
      </c>
      <c r="H43" s="172">
        <f t="shared" si="10"/>
        <v>-76.206000000000003</v>
      </c>
      <c r="I43" s="172">
        <f t="shared" si="10"/>
        <v>-78.319000000000003</v>
      </c>
      <c r="J43" s="172">
        <f t="shared" si="10"/>
        <v>-76.287000000000006</v>
      </c>
      <c r="K43" s="172">
        <f t="shared" si="10"/>
        <v>-47.515000000000001</v>
      </c>
      <c r="L43" s="172">
        <f t="shared" si="10"/>
        <v>-70.141000000000005</v>
      </c>
      <c r="M43" s="172">
        <f t="shared" si="10"/>
        <v>-70.802999999999997</v>
      </c>
    </row>
    <row r="44" spans="2:13" ht="15" x14ac:dyDescent="0.25">
      <c r="B44" s="168" t="s">
        <v>274</v>
      </c>
      <c r="C44" s="160"/>
      <c r="D44" s="172">
        <f>+D18-D37</f>
        <v>117.07299999999987</v>
      </c>
      <c r="E44" s="172">
        <f t="shared" ref="E44:M44" si="11">+E18-E37</f>
        <v>208.50599999999997</v>
      </c>
      <c r="F44" s="172">
        <f t="shared" si="11"/>
        <v>-6.3319999999999936</v>
      </c>
      <c r="G44" s="172">
        <f t="shared" si="11"/>
        <v>-207.91700000000014</v>
      </c>
      <c r="H44" s="172">
        <f t="shared" si="11"/>
        <v>495.62099999999975</v>
      </c>
      <c r="I44" s="172">
        <f t="shared" si="11"/>
        <v>88.108999999999924</v>
      </c>
      <c r="J44" s="172">
        <f t="shared" si="11"/>
        <v>-210.34599999999989</v>
      </c>
      <c r="K44" s="172">
        <f t="shared" si="11"/>
        <v>-398.65399999999977</v>
      </c>
      <c r="L44" s="172">
        <f t="shared" si="11"/>
        <v>696.08999999999992</v>
      </c>
      <c r="M44" s="172">
        <f t="shared" si="11"/>
        <v>-670.39499999999998</v>
      </c>
    </row>
    <row r="45" spans="2:13" ht="15" x14ac:dyDescent="0.25">
      <c r="B45" s="168" t="s">
        <v>275</v>
      </c>
      <c r="C45" s="160"/>
      <c r="D45" s="172" t="s">
        <v>8</v>
      </c>
      <c r="E45" s="172" t="s">
        <v>8</v>
      </c>
      <c r="F45" s="172" t="s">
        <v>8</v>
      </c>
      <c r="G45" s="172" t="s">
        <v>8</v>
      </c>
      <c r="H45" s="172" t="s">
        <v>8</v>
      </c>
      <c r="I45" s="172" t="s">
        <v>8</v>
      </c>
      <c r="J45" s="172" t="s">
        <v>8</v>
      </c>
      <c r="K45" s="172" t="s">
        <v>8</v>
      </c>
      <c r="L45" s="172" t="s">
        <v>8</v>
      </c>
      <c r="M45" s="172">
        <v>-1993.78</v>
      </c>
    </row>
    <row r="46" spans="2:13" ht="15" x14ac:dyDescent="0.25">
      <c r="B46" s="168" t="s">
        <v>276</v>
      </c>
      <c r="C46" s="160"/>
      <c r="D46" s="172">
        <v>241.37</v>
      </c>
      <c r="E46" s="172">
        <v>289.44599999999997</v>
      </c>
      <c r="F46" s="172">
        <v>-92.414000000000016</v>
      </c>
      <c r="G46" s="172">
        <v>-209.99900000000002</v>
      </c>
      <c r="H46" s="172">
        <v>539.46400000000006</v>
      </c>
      <c r="I46" s="172">
        <v>-62.356000000000002</v>
      </c>
      <c r="J46" s="172">
        <v>-11.428999999999998</v>
      </c>
      <c r="K46" s="172">
        <v>178.334</v>
      </c>
      <c r="L46" s="172">
        <v>45.30799999999897</v>
      </c>
      <c r="M46" s="172">
        <v>132.58600000000001</v>
      </c>
    </row>
    <row r="47" spans="2:13" ht="15" x14ac:dyDescent="0.25">
      <c r="B47" s="166" t="s">
        <v>277</v>
      </c>
      <c r="C47" s="163"/>
      <c r="D47" s="165">
        <f>SUM(D41:D46)</f>
        <v>5252.704999999999</v>
      </c>
      <c r="E47" s="165">
        <f t="shared" ref="E47:M47" si="12">SUM(E41:E46)</f>
        <v>5787.9349999999995</v>
      </c>
      <c r="F47" s="165">
        <f t="shared" si="12"/>
        <v>5815.5</v>
      </c>
      <c r="G47" s="165">
        <f t="shared" si="12"/>
        <v>4719.1559999999999</v>
      </c>
      <c r="H47" s="165">
        <f t="shared" si="12"/>
        <v>5951.4859999999999</v>
      </c>
      <c r="I47" s="165">
        <f t="shared" si="12"/>
        <v>6518.241</v>
      </c>
      <c r="J47" s="165">
        <f t="shared" si="12"/>
        <v>5397.0349999999999</v>
      </c>
      <c r="K47" s="165">
        <f t="shared" si="12"/>
        <v>4835.3940000000002</v>
      </c>
      <c r="L47" s="165">
        <f t="shared" si="12"/>
        <v>5780.5899999999992</v>
      </c>
      <c r="M47" s="165">
        <f t="shared" si="12"/>
        <v>4011.8490000000002</v>
      </c>
    </row>
    <row r="48" spans="2:13" ht="15" x14ac:dyDescent="0.25">
      <c r="B48" s="119"/>
      <c r="C48" s="160"/>
      <c r="D48" s="173"/>
      <c r="E48" s="173"/>
      <c r="F48" s="173"/>
      <c r="G48" s="173"/>
      <c r="H48" s="173"/>
      <c r="I48" s="173"/>
      <c r="J48" s="173"/>
      <c r="K48" s="173"/>
      <c r="L48" s="173"/>
      <c r="M48" s="173"/>
    </row>
    <row r="49" spans="2:13" ht="15" x14ac:dyDescent="0.25">
      <c r="B49" s="121" t="s">
        <v>278</v>
      </c>
      <c r="C49" s="160"/>
      <c r="D49" s="173"/>
      <c r="E49" s="173"/>
      <c r="F49" s="173"/>
      <c r="G49" s="173"/>
      <c r="H49" s="173"/>
      <c r="I49" s="173"/>
      <c r="J49" s="173"/>
      <c r="K49" s="173"/>
      <c r="L49" s="173"/>
      <c r="M49" s="173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319F0CDCA4949AC79A848D6E9755C" ma:contentTypeVersion="11" ma:contentTypeDescription="Create a new document." ma:contentTypeScope="" ma:versionID="fdfac44184c8e8bc49b59891217c5ee6">
  <xsd:schema xmlns:xsd="http://www.w3.org/2001/XMLSchema" xmlns:xs="http://www.w3.org/2001/XMLSchema" xmlns:p="http://schemas.microsoft.com/office/2006/metadata/properties" xmlns:ns2="f4990a3d-33ac-4164-80c4-ac259dc90ee2" xmlns:ns3="f9b214c7-9767-42c7-b580-59f3cbda6e2a" targetNamespace="http://schemas.microsoft.com/office/2006/metadata/properties" ma:root="true" ma:fieldsID="ae7cdeb6e090b4bfc11163435a239ad6" ns2:_="" ns3:_="">
    <xsd:import namespace="f4990a3d-33ac-4164-80c4-ac259dc90ee2"/>
    <xsd:import namespace="f9b214c7-9767-42c7-b580-59f3cbda6e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90a3d-33ac-4164-80c4-ac259dc90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c97352e-8617-41f9-8856-fb90cdada2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214c7-9767-42c7-b580-59f3cbda6e2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42a7898-a25a-4fbd-97c1-b224a06383ba}" ma:internalName="TaxCatchAll" ma:showField="CatchAllData" ma:web="f9b214c7-9767-42c7-b580-59f3cbda6e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990a3d-33ac-4164-80c4-ac259dc90ee2">
      <Terms xmlns="http://schemas.microsoft.com/office/infopath/2007/PartnerControls"/>
    </lcf76f155ced4ddcb4097134ff3c332f>
    <TaxCatchAll xmlns="f9b214c7-9767-42c7-b580-59f3cbda6e2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39F31-171E-47A0-9C12-2156310CE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90a3d-33ac-4164-80c4-ac259dc90ee2"/>
    <ds:schemaRef ds:uri="f9b214c7-9767-42c7-b580-59f3cbda6e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875E8E-EC6C-4BCF-83DF-96F346C9AA7A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4990a3d-33ac-4164-80c4-ac259dc90ee2"/>
    <ds:schemaRef ds:uri="http://schemas.microsoft.com/office/infopath/2007/PartnerControls"/>
    <ds:schemaRef ds:uri="f9b214c7-9767-42c7-b580-59f3cbda6e2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DE1F1E-8C92-4D99-962C-51801E13EA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Nynas Group_Q2</vt:lpstr>
      <vt:lpstr>Nynas Group_Quarterly overview</vt:lpstr>
      <vt:lpstr>Cash flow_Net Debt spec</vt:lpstr>
      <vt:lpstr>'Nynas Group_Q2'!Print_Area</vt:lpstr>
      <vt:lpstr>'Nynas Group_Quarterly overview'!Print_Area</vt:lpstr>
      <vt:lpstr>'Nynas Group_Q2'!Print_Titles</vt:lpstr>
      <vt:lpstr>'Nynas Group_Quarterly overview'!Print_Titles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Roger Steen</dc:creator>
  <cp:keywords/>
  <dc:description/>
  <cp:lastModifiedBy>Teresa Fischer</cp:lastModifiedBy>
  <cp:revision/>
  <dcterms:created xsi:type="dcterms:W3CDTF">2024-10-30T14:43:30Z</dcterms:created>
  <dcterms:modified xsi:type="dcterms:W3CDTF">2025-09-01T14:02:50Z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0x010100508319F0CDCA4949AC79A848D6E9755C</vt:lpwstr>
  </property>
  <property fmtid="{D5CDD505-2E9C-101B-9397-08002B2CF9AE}" pid="5" name="MediaServiceImageTags">
    <vt:lpwstr/>
  </property>
</Properties>
</file>